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is\Documents\Projetos\Projetos com Aline\"/>
    </mc:Choice>
  </mc:AlternateContent>
  <bookViews>
    <workbookView xWindow="0" yWindow="0" windowWidth="17256" windowHeight="5772" activeTab="2"/>
  </bookViews>
  <sheets>
    <sheet name="BDI (1)" sheetId="12" r:id="rId1"/>
    <sheet name="Orçamento " sheetId="1" r:id="rId2"/>
    <sheet name="Cronograma" sheetId="11" r:id="rId3"/>
    <sheet name="Orç. Madeiras " sheetId="8" r:id="rId4"/>
    <sheet name="Limpeza Final" sheetId="7" r:id="rId5"/>
    <sheet name="Elétrico" sheetId="4" r:id="rId6"/>
    <sheet name="Esgoto" sheetId="2" r:id="rId7"/>
    <sheet name="Água Fria" sheetId="3" r:id="rId8"/>
    <sheet name="Estrutura em Concreto" sheetId="6" r:id="rId9"/>
    <sheet name="Portal de entrada" sheetId="9" r:id="rId10"/>
  </sheets>
  <definedNames>
    <definedName name="_xlnm.Print_Area" localSheetId="0">'BDI (1)'!$I$1:$R$50</definedName>
    <definedName name="_xlnm.Print_Area" localSheetId="2">Cronograma!$A$2:$J$28</definedName>
    <definedName name="_xlnm.Print_Area" localSheetId="1">'Orçamento '!$A$1:$L$115</definedName>
    <definedName name="TipoOrçamento">"BASE"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 i="12" l="1"/>
  <c r="C45" i="12" s="1"/>
  <c r="C44" i="12"/>
  <c r="A39" i="12"/>
  <c r="C39" i="12" s="1"/>
  <c r="C38" i="12"/>
  <c r="I37" i="12"/>
  <c r="I35" i="12"/>
  <c r="M33" i="12"/>
  <c r="M32" i="12"/>
  <c r="L32" i="12"/>
  <c r="I29" i="12"/>
  <c r="A28" i="12"/>
  <c r="C28" i="12" s="1"/>
  <c r="C27" i="12"/>
  <c r="N25" i="12"/>
  <c r="O25" i="12" s="1"/>
  <c r="N24" i="12"/>
  <c r="M22" i="12"/>
  <c r="I22" i="12"/>
  <c r="C22" i="12"/>
  <c r="A22" i="12"/>
  <c r="A23" i="12" s="1"/>
  <c r="M21" i="12"/>
  <c r="I21" i="12"/>
  <c r="C21" i="12"/>
  <c r="M20" i="12"/>
  <c r="I20" i="12"/>
  <c r="M19" i="12"/>
  <c r="I19" i="12"/>
  <c r="M18" i="12"/>
  <c r="I18" i="12"/>
  <c r="A17" i="12"/>
  <c r="A18" i="12" s="1"/>
  <c r="A19" i="12" s="1"/>
  <c r="C15" i="12"/>
  <c r="A15" i="12"/>
  <c r="C14" i="12"/>
  <c r="C13" i="12"/>
  <c r="C12" i="12"/>
  <c r="C11" i="12"/>
  <c r="C10" i="12"/>
  <c r="C9" i="12"/>
  <c r="C8" i="12"/>
  <c r="A3" i="12"/>
  <c r="C3" i="12" s="1"/>
  <c r="C2" i="12"/>
  <c r="N1" i="12"/>
  <c r="C23" i="12" l="1"/>
  <c r="A24" i="12"/>
  <c r="C24" i="12" s="1"/>
  <c r="A46" i="12"/>
  <c r="C46" i="12" s="1"/>
  <c r="C17" i="12"/>
  <c r="A4" i="12"/>
  <c r="C4" i="12" s="1"/>
  <c r="N27" i="12"/>
  <c r="A40" i="12"/>
  <c r="C40" i="12" s="1"/>
  <c r="N26" i="12"/>
  <c r="A20" i="12"/>
  <c r="C20" i="12" s="1"/>
  <c r="C19" i="12"/>
  <c r="A41" i="12"/>
  <c r="C18" i="12"/>
  <c r="A29" i="12"/>
  <c r="A25" i="12"/>
  <c r="A5" i="12"/>
  <c r="A47" i="12"/>
  <c r="C5" i="12" l="1"/>
  <c r="A6" i="12"/>
  <c r="C47" i="12"/>
  <c r="A48" i="12"/>
  <c r="C29" i="12"/>
  <c r="A32" i="12"/>
  <c r="A42" i="12"/>
  <c r="C41" i="12"/>
  <c r="C25" i="12"/>
  <c r="A26" i="12"/>
  <c r="C26" i="12" s="1"/>
  <c r="C6" i="12" l="1"/>
  <c r="Q22" i="12" s="1"/>
  <c r="A7" i="12"/>
  <c r="C7" i="12" s="1"/>
  <c r="C48" i="12"/>
  <c r="A49" i="12"/>
  <c r="C49" i="12" s="1"/>
  <c r="A33" i="12"/>
  <c r="C32" i="12"/>
  <c r="C42" i="12"/>
  <c r="A43" i="12"/>
  <c r="C43" i="12" s="1"/>
  <c r="B16" i="11"/>
  <c r="B15" i="11"/>
  <c r="B14" i="11"/>
  <c r="B13" i="11"/>
  <c r="B12" i="11"/>
  <c r="B11" i="11"/>
  <c r="B10" i="11"/>
  <c r="B9" i="11"/>
  <c r="B8" i="11"/>
  <c r="B7" i="11"/>
  <c r="R21" i="12" l="1"/>
  <c r="Q20" i="12"/>
  <c r="R20" i="12"/>
  <c r="Q21" i="12"/>
  <c r="P20" i="12"/>
  <c r="P19" i="12"/>
  <c r="R26" i="12"/>
  <c r="Q19" i="12"/>
  <c r="R19" i="12"/>
  <c r="P21" i="12"/>
  <c r="R18" i="12"/>
  <c r="P18" i="12"/>
  <c r="Q18" i="12"/>
  <c r="P26" i="12"/>
  <c r="O26" i="12" s="1"/>
  <c r="P22" i="12"/>
  <c r="C33" i="12"/>
  <c r="A34" i="12"/>
  <c r="C34" i="12" s="1"/>
  <c r="Q26" i="12"/>
  <c r="R22" i="12"/>
  <c r="H74" i="1"/>
  <c r="H73" i="1"/>
  <c r="H72" i="1"/>
  <c r="H71" i="1"/>
  <c r="L71" i="1" s="1"/>
  <c r="H68" i="1"/>
  <c r="H67" i="1"/>
  <c r="H66" i="1"/>
  <c r="H65" i="1"/>
  <c r="H64" i="1"/>
  <c r="L64" i="1" s="1"/>
  <c r="H61" i="1"/>
  <c r="H60" i="1"/>
  <c r="H59" i="1"/>
  <c r="H58" i="1"/>
  <c r="L58" i="1" s="1"/>
  <c r="H57" i="1"/>
  <c r="H56" i="1"/>
  <c r="H55" i="1"/>
  <c r="H54" i="1"/>
  <c r="H53" i="1"/>
  <c r="H52" i="1"/>
  <c r="H51" i="1"/>
  <c r="L51" i="1" s="1"/>
  <c r="H48" i="1"/>
  <c r="H47" i="1"/>
  <c r="H46" i="1"/>
  <c r="H45" i="1"/>
  <c r="H44" i="1"/>
  <c r="H43" i="1"/>
  <c r="H42" i="1"/>
  <c r="H41" i="1"/>
  <c r="L41" i="1" s="1"/>
  <c r="H38" i="1"/>
  <c r="H37" i="1"/>
  <c r="H36" i="1"/>
  <c r="H35" i="1"/>
  <c r="H34" i="1"/>
  <c r="H33" i="1"/>
  <c r="H32" i="1"/>
  <c r="H31" i="1"/>
  <c r="H30" i="1"/>
  <c r="H29" i="1"/>
  <c r="H28" i="1"/>
  <c r="H27" i="1"/>
  <c r="H26" i="1"/>
  <c r="L26" i="1" s="1"/>
  <c r="H23" i="1"/>
  <c r="H22" i="1"/>
  <c r="H21" i="1"/>
  <c r="H20" i="1"/>
  <c r="H19" i="1"/>
  <c r="H18" i="1"/>
  <c r="H17" i="1"/>
  <c r="H16" i="1"/>
  <c r="L16" i="1" s="1"/>
  <c r="I35" i="1" l="1"/>
  <c r="L35" i="1"/>
  <c r="I44" i="1"/>
  <c r="J53" i="1"/>
  <c r="L53" i="1"/>
  <c r="I27" i="1"/>
  <c r="L27" i="1"/>
  <c r="J45" i="1"/>
  <c r="L45" i="1"/>
  <c r="I54" i="1"/>
  <c r="L54" i="1"/>
  <c r="I33" i="1"/>
  <c r="L33" i="1"/>
  <c r="I72" i="1"/>
  <c r="L72" i="1"/>
  <c r="J22" i="1"/>
  <c r="L22" i="1"/>
  <c r="I32" i="1"/>
  <c r="L32" i="1"/>
  <c r="I42" i="1"/>
  <c r="L42" i="1"/>
  <c r="I52" i="1"/>
  <c r="L52" i="1"/>
  <c r="J60" i="1"/>
  <c r="L60" i="1"/>
  <c r="I71" i="1"/>
  <c r="I55" i="1"/>
  <c r="L55" i="1"/>
  <c r="I74" i="1"/>
  <c r="L74" i="1"/>
  <c r="J34" i="1"/>
  <c r="L34" i="1"/>
  <c r="J73" i="1"/>
  <c r="L73" i="1"/>
  <c r="I23" i="1"/>
  <c r="L23" i="1"/>
  <c r="J61" i="1"/>
  <c r="L61" i="1"/>
  <c r="I21" i="1"/>
  <c r="L21" i="1"/>
  <c r="I59" i="1"/>
  <c r="L59" i="1"/>
  <c r="J20" i="1"/>
  <c r="L20" i="1"/>
  <c r="I30" i="1"/>
  <c r="L30" i="1"/>
  <c r="I38" i="1"/>
  <c r="L38" i="1"/>
  <c r="I48" i="1"/>
  <c r="L48" i="1"/>
  <c r="I68" i="1"/>
  <c r="L68" i="1"/>
  <c r="I17" i="1"/>
  <c r="L17" i="1"/>
  <c r="I65" i="1"/>
  <c r="L65" i="1"/>
  <c r="J43" i="1"/>
  <c r="L43" i="1"/>
  <c r="I31" i="1"/>
  <c r="L31" i="1"/>
  <c r="J19" i="1"/>
  <c r="L19" i="1"/>
  <c r="I29" i="1"/>
  <c r="L29" i="1"/>
  <c r="I37" i="1"/>
  <c r="L37" i="1"/>
  <c r="J47" i="1"/>
  <c r="L47" i="1"/>
  <c r="I57" i="1"/>
  <c r="L57" i="1"/>
  <c r="I67" i="1"/>
  <c r="L67" i="1"/>
  <c r="J18" i="1"/>
  <c r="L18" i="1"/>
  <c r="I28" i="1"/>
  <c r="L28" i="1"/>
  <c r="J36" i="1"/>
  <c r="L36" i="1"/>
  <c r="I46" i="1"/>
  <c r="L46" i="1"/>
  <c r="I56" i="1"/>
  <c r="L56" i="1"/>
  <c r="I66" i="1"/>
  <c r="L66" i="1"/>
  <c r="V27" i="12"/>
  <c r="T16" i="12" s="1"/>
  <c r="O27" i="12"/>
  <c r="I26" i="1"/>
  <c r="H39" i="1"/>
  <c r="L39" i="1" s="1"/>
  <c r="C9" i="11" s="1"/>
  <c r="J16" i="1"/>
  <c r="H24" i="1"/>
  <c r="L24" i="1" s="1"/>
  <c r="C8" i="11" s="1"/>
  <c r="I64" i="1"/>
  <c r="H69" i="1"/>
  <c r="L69" i="1" s="1"/>
  <c r="C12" i="11" s="1"/>
  <c r="J41" i="1"/>
  <c r="H49" i="1"/>
  <c r="L49" i="1" s="1"/>
  <c r="C10" i="11" s="1"/>
  <c r="I51" i="1"/>
  <c r="H62" i="1"/>
  <c r="L62" i="1" s="1"/>
  <c r="C11" i="11" s="1"/>
  <c r="J71" i="1"/>
  <c r="H75" i="1"/>
  <c r="L75" i="1" s="1"/>
  <c r="C13" i="11" s="1"/>
  <c r="I73" i="1"/>
  <c r="J28" i="1"/>
  <c r="J68" i="1"/>
  <c r="J72" i="1"/>
  <c r="J74" i="1"/>
  <c r="I43" i="1"/>
  <c r="J46" i="1"/>
  <c r="I61" i="1"/>
  <c r="I36" i="1"/>
  <c r="J32" i="1"/>
  <c r="J38" i="1"/>
  <c r="I53" i="1"/>
  <c r="J64" i="1"/>
  <c r="J48" i="1"/>
  <c r="J26" i="1"/>
  <c r="J23" i="1"/>
  <c r="J42" i="1"/>
  <c r="I47" i="1"/>
  <c r="J65" i="1"/>
  <c r="I16" i="1"/>
  <c r="I60" i="1"/>
  <c r="J17" i="1"/>
  <c r="J57" i="1"/>
  <c r="I20" i="1"/>
  <c r="I41" i="1"/>
  <c r="I45" i="1"/>
  <c r="J55" i="1"/>
  <c r="I19" i="1"/>
  <c r="I34" i="1"/>
  <c r="J44" i="1"/>
  <c r="K44" i="1" s="1"/>
  <c r="L44" i="1" s="1"/>
  <c r="J59" i="1"/>
  <c r="J67" i="1"/>
  <c r="I22" i="1"/>
  <c r="J21" i="1"/>
  <c r="J30" i="1"/>
  <c r="J51" i="1"/>
  <c r="I18" i="1"/>
  <c r="J66" i="1"/>
  <c r="I58" i="1"/>
  <c r="J58" i="1"/>
  <c r="J52" i="1"/>
  <c r="J54" i="1"/>
  <c r="J56" i="1"/>
  <c r="J27" i="1"/>
  <c r="J29" i="1"/>
  <c r="J31" i="1"/>
  <c r="J33" i="1"/>
  <c r="J35" i="1"/>
  <c r="J37" i="1"/>
  <c r="I69" i="1" l="1"/>
  <c r="I39" i="1"/>
  <c r="I75" i="1"/>
  <c r="J49" i="1"/>
  <c r="I24" i="1"/>
  <c r="J69" i="1"/>
  <c r="I62" i="1"/>
  <c r="J24" i="1"/>
  <c r="J62" i="1"/>
  <c r="J39" i="1"/>
  <c r="J75" i="1"/>
  <c r="I49" i="1"/>
  <c r="H10" i="11" l="1"/>
  <c r="J10" i="11"/>
  <c r="F10" i="11"/>
  <c r="F8" i="11"/>
  <c r="H8" i="11"/>
  <c r="J8" i="11"/>
  <c r="F12" i="11"/>
  <c r="H12" i="11"/>
  <c r="J12" i="11"/>
  <c r="J9" i="11"/>
  <c r="H9" i="11"/>
  <c r="F9" i="11"/>
  <c r="J13" i="11"/>
  <c r="F13" i="11"/>
  <c r="H13" i="11"/>
  <c r="J11" i="11" l="1"/>
  <c r="F11" i="11"/>
  <c r="H11" i="11"/>
  <c r="H104" i="1"/>
  <c r="I104" i="1" l="1"/>
  <c r="L104" i="1"/>
  <c r="J104" i="1"/>
  <c r="E23" i="9" l="1"/>
  <c r="G23" i="9" s="1"/>
  <c r="E22" i="9"/>
  <c r="G22" i="9" s="1"/>
  <c r="E21" i="9"/>
  <c r="G21" i="9" s="1"/>
  <c r="E20" i="9"/>
  <c r="G20" i="9" s="1"/>
  <c r="G16" i="9" l="1"/>
  <c r="G8" i="9"/>
  <c r="G9" i="9"/>
  <c r="G10" i="9"/>
  <c r="G15" i="9"/>
  <c r="J5" i="9"/>
  <c r="J6" i="9"/>
  <c r="J4" i="9"/>
  <c r="J3" i="9"/>
  <c r="C3" i="9"/>
  <c r="F14" i="8"/>
  <c r="F15" i="8"/>
  <c r="C5" i="9"/>
  <c r="J7" i="9" l="1"/>
  <c r="G11" i="9"/>
  <c r="G25" i="9" s="1"/>
  <c r="H18" i="8"/>
  <c r="I18" i="8" s="1"/>
  <c r="F18" i="8"/>
  <c r="G25" i="8"/>
  <c r="G26" i="8"/>
  <c r="G24" i="8"/>
  <c r="F25" i="8"/>
  <c r="F26" i="8"/>
  <c r="F24" i="8"/>
  <c r="J15" i="8"/>
  <c r="I15" i="8"/>
  <c r="F17" i="8"/>
  <c r="F10" i="8"/>
  <c r="F9" i="8"/>
  <c r="F8" i="8"/>
  <c r="K15" i="8" l="1"/>
  <c r="G27" i="8"/>
  <c r="K5" i="8" s="1"/>
  <c r="F27" i="8"/>
  <c r="F11" i="8"/>
  <c r="K3" i="8" s="1"/>
  <c r="F16" i="8"/>
  <c r="F19" i="8" s="1"/>
  <c r="K4" i="8" s="1"/>
  <c r="F2" i="8"/>
  <c r="F3" i="8"/>
  <c r="F1" i="8"/>
  <c r="F4" i="8" l="1"/>
  <c r="F5" i="8" l="1"/>
  <c r="G6" i="8"/>
  <c r="K2" i="8" s="1"/>
  <c r="K6" i="8" s="1"/>
  <c r="H13" i="1"/>
  <c r="H78" i="1"/>
  <c r="L78" i="1" s="1"/>
  <c r="H79" i="1"/>
  <c r="H80" i="1"/>
  <c r="H81" i="1"/>
  <c r="H82" i="1"/>
  <c r="H83" i="1"/>
  <c r="H84" i="1"/>
  <c r="H85" i="1"/>
  <c r="H86" i="1"/>
  <c r="H87" i="1"/>
  <c r="H90" i="1"/>
  <c r="L90" i="1" s="1"/>
  <c r="H91" i="1"/>
  <c r="H92" i="1"/>
  <c r="H93" i="1"/>
  <c r="H94" i="1"/>
  <c r="H95" i="1"/>
  <c r="H96" i="1"/>
  <c r="H97" i="1"/>
  <c r="H101" i="1"/>
  <c r="L101" i="1" s="1"/>
  <c r="H102" i="1"/>
  <c r="H103" i="1"/>
  <c r="I103" i="1" l="1"/>
  <c r="L103" i="1"/>
  <c r="I83" i="1"/>
  <c r="L83" i="1"/>
  <c r="I84" i="1"/>
  <c r="L84" i="1"/>
  <c r="I95" i="1"/>
  <c r="L95" i="1"/>
  <c r="I13" i="1"/>
  <c r="L13" i="1"/>
  <c r="I97" i="1"/>
  <c r="L97" i="1"/>
  <c r="I87" i="1"/>
  <c r="L87" i="1"/>
  <c r="I79" i="1"/>
  <c r="L79" i="1"/>
  <c r="I92" i="1"/>
  <c r="L92" i="1"/>
  <c r="I93" i="1"/>
  <c r="L93" i="1"/>
  <c r="I94" i="1"/>
  <c r="L94" i="1"/>
  <c r="I85" i="1"/>
  <c r="L85" i="1"/>
  <c r="I96" i="1"/>
  <c r="L96" i="1"/>
  <c r="I86" i="1"/>
  <c r="L86" i="1"/>
  <c r="I80" i="1"/>
  <c r="L80" i="1"/>
  <c r="I102" i="1"/>
  <c r="L102" i="1"/>
  <c r="I91" i="1"/>
  <c r="L91" i="1"/>
  <c r="I81" i="1"/>
  <c r="L81" i="1"/>
  <c r="I82" i="1"/>
  <c r="L82" i="1"/>
  <c r="H98" i="1"/>
  <c r="L98" i="1" s="1"/>
  <c r="C15" i="11" s="1"/>
  <c r="I101" i="1"/>
  <c r="H105" i="1"/>
  <c r="L105" i="1" s="1"/>
  <c r="C16" i="11" s="1"/>
  <c r="F16" i="11" s="1"/>
  <c r="I78" i="1"/>
  <c r="H88" i="1"/>
  <c r="L88" i="1" s="1"/>
  <c r="C14" i="11" s="1"/>
  <c r="I90" i="1"/>
  <c r="J103" i="1"/>
  <c r="J102" i="1"/>
  <c r="J101" i="1"/>
  <c r="J97" i="1"/>
  <c r="J96" i="1"/>
  <c r="J95" i="1"/>
  <c r="J94" i="1"/>
  <c r="J93" i="1"/>
  <c r="J92" i="1"/>
  <c r="J91" i="1"/>
  <c r="J90" i="1"/>
  <c r="J87" i="1"/>
  <c r="J86" i="1"/>
  <c r="J85" i="1"/>
  <c r="J84" i="1"/>
  <c r="J83" i="1"/>
  <c r="J82" i="1"/>
  <c r="J81" i="1"/>
  <c r="J80" i="1"/>
  <c r="J79" i="1"/>
  <c r="J78" i="1"/>
  <c r="J13" i="1"/>
  <c r="G2" i="7"/>
  <c r="G3" i="7"/>
  <c r="G1" i="7"/>
  <c r="I105" i="1" l="1"/>
  <c r="I88" i="1"/>
  <c r="I98" i="1"/>
  <c r="J105" i="1"/>
  <c r="J88" i="1"/>
  <c r="J98" i="1"/>
  <c r="G4" i="7"/>
  <c r="J14" i="11" l="1"/>
  <c r="F14" i="11"/>
  <c r="H14" i="11"/>
  <c r="J16" i="11"/>
  <c r="H16" i="11"/>
  <c r="J15" i="11"/>
  <c r="H15" i="11"/>
  <c r="F15" i="11"/>
  <c r="C6" i="6"/>
  <c r="C1" i="6" l="1"/>
  <c r="C2" i="6"/>
  <c r="C3" i="6"/>
  <c r="C4" i="6"/>
  <c r="C5" i="6"/>
  <c r="K1" i="4"/>
  <c r="G13" i="2"/>
  <c r="F2" i="3"/>
  <c r="C7" i="6" l="1"/>
  <c r="F2" i="4" l="1"/>
  <c r="F3" i="4"/>
  <c r="F4" i="3" l="1"/>
  <c r="F5" i="3"/>
  <c r="F6" i="3"/>
  <c r="F7" i="3"/>
  <c r="F3" i="3"/>
  <c r="G2" i="2"/>
  <c r="G3" i="2"/>
  <c r="G4" i="2"/>
  <c r="G5" i="2"/>
  <c r="G6" i="2"/>
  <c r="G7" i="2"/>
  <c r="G8" i="2"/>
  <c r="G9" i="2"/>
  <c r="G10" i="2"/>
  <c r="G11" i="2"/>
  <c r="G12" i="2"/>
  <c r="G1" i="2"/>
  <c r="G14" i="2" l="1"/>
  <c r="F8" i="3"/>
  <c r="K2" i="4"/>
  <c r="D1" i="4"/>
  <c r="F1" i="4" s="1"/>
  <c r="F4" i="4" s="1"/>
  <c r="L16" i="3" l="1"/>
  <c r="M16" i="3" s="1"/>
  <c r="O10" i="3"/>
  <c r="J14" i="3"/>
  <c r="K14" i="3"/>
  <c r="L14" i="3"/>
  <c r="M14" i="3"/>
  <c r="L17" i="3" l="1"/>
  <c r="H12" i="1" l="1"/>
  <c r="L12" i="1" s="1"/>
  <c r="H11" i="1"/>
  <c r="L11" i="1" s="1"/>
  <c r="H14" i="1" l="1"/>
  <c r="I12" i="1"/>
  <c r="J12" i="1"/>
  <c r="I11" i="1"/>
  <c r="J11" i="1"/>
  <c r="H107" i="1" l="1"/>
  <c r="L14" i="1"/>
  <c r="C7" i="11" s="1"/>
  <c r="C18" i="11" s="1"/>
  <c r="I14" i="1"/>
  <c r="J14" i="1"/>
  <c r="D8" i="11" l="1"/>
  <c r="L107" i="1"/>
  <c r="D6" i="1" s="1"/>
  <c r="J107" i="1"/>
  <c r="I107" i="1"/>
  <c r="D16" i="11" l="1"/>
  <c r="D14" i="11"/>
  <c r="D13" i="11"/>
  <c r="D15" i="11"/>
  <c r="D10" i="11"/>
  <c r="D11" i="11"/>
  <c r="D7" i="11"/>
  <c r="D9" i="11"/>
  <c r="D12" i="11"/>
  <c r="F7" i="11"/>
  <c r="H7" i="11"/>
  <c r="H18" i="11" s="1"/>
  <c r="G18" i="11" s="1"/>
  <c r="J7" i="11"/>
  <c r="J18" i="11" s="1"/>
  <c r="I18" i="11" s="1"/>
  <c r="D18" i="11" l="1"/>
  <c r="F18" i="11"/>
  <c r="E18" i="11" s="1"/>
  <c r="E19" i="11" s="1"/>
  <c r="G19" i="11" s="1"/>
  <c r="I19" i="11" s="1"/>
  <c r="F19" i="11" l="1"/>
  <c r="H19" i="11" s="1"/>
  <c r="J19" i="11" s="1"/>
</calcChain>
</file>

<file path=xl/sharedStrings.xml><?xml version="1.0" encoding="utf-8"?>
<sst xmlns="http://schemas.openxmlformats.org/spreadsheetml/2006/main" count="677" uniqueCount="352">
  <si>
    <t>Planilha Orçamentária</t>
  </si>
  <si>
    <t>Valor Total da Obra:</t>
  </si>
  <si>
    <t>Período: 2021</t>
  </si>
  <si>
    <t>Item</t>
  </si>
  <si>
    <t>Referência</t>
  </si>
  <si>
    <t>Código</t>
  </si>
  <si>
    <t>Descrição</t>
  </si>
  <si>
    <t>Un.</t>
  </si>
  <si>
    <t>Qtd.</t>
  </si>
  <si>
    <t xml:space="preserve">Preço Unit. </t>
  </si>
  <si>
    <t>Preço Total</t>
  </si>
  <si>
    <t>Total</t>
  </si>
  <si>
    <t>MAT</t>
  </si>
  <si>
    <t>M.O.</t>
  </si>
  <si>
    <t>Serviços Preliminares</t>
  </si>
  <si>
    <t>PLACA DE OBRA EM CHAPA DE ACO GALVANIZADO</t>
  </si>
  <si>
    <t>SINAPI</t>
  </si>
  <si>
    <t>LOCAL</t>
  </si>
  <si>
    <t>-</t>
  </si>
  <si>
    <t>LOCACAO CONVENCIONAL DE OBRA, UTILIZANDO GABARITO DE TÁBUAS CORRIDAS PONTALETADAS A CADA 2,00M - 2 UTILIZAÇÕES</t>
  </si>
  <si>
    <t>1.1</t>
  </si>
  <si>
    <t>1.2</t>
  </si>
  <si>
    <t>1.3</t>
  </si>
  <si>
    <t>Água Fria e Alimentação - Tubos, Conexões, Aparelhos e Bancadas</t>
  </si>
  <si>
    <t>DEINFRA</t>
  </si>
  <si>
    <t>ENGATE FLEXÍVEL EM PLÁSTICO BRANCO, 1/2" X 40CM - FORNECIMENTO E INSTALAÇÃO. LAVATÓRIOS E VASOS</t>
  </si>
  <si>
    <t xml:space="preserve">TORNEIRA DE BOIA, ROSCÁVEL, 1", FORNECIDA E INSTALADA EM RESERVAÇÃO DE ÁGUA. </t>
  </si>
  <si>
    <t xml:space="preserve">REGISTRO DE PRESSÃO BRUTO, LATÃO, ROSCÁVEL, 3/4", COM ACABAMENTO E CANOPLA CROMADOS. FORNECIDO E INSTALADO EM RAMAL DE ÁGUA. </t>
  </si>
  <si>
    <t>TORNEIRA CROMADA DE MESA, 1/2" OU 3/4", PARA LAVATÓRIO, TIPO ALAVANCA, ACESSÍVEL, CONFORME NBR 9050/2015 - FORNECIMENTO E INSTALAÇÃO.</t>
  </si>
  <si>
    <t>LAVATÓRIO LOUÇA BRANCA SUSPENSO, INCLUSO KIT DE BARRAS, CONFORME NBR 9050/2015 - FORNECIMENTO E INSTALAÇÃO.</t>
  </si>
  <si>
    <t>LAVATÓRIO DE LOUÇA EM BANCADA, SIFONADO, COM METAIS, INCLUSIVE TORNEIRA CROMADA.</t>
  </si>
  <si>
    <t>HIDRÔMETRO DN 25 (¾ ), 5,0 M³/H FORNECIMENTO E INSTALAÇÃO.</t>
  </si>
  <si>
    <t>CAIXA D´AGUA EM POLIETILENO, 500 LITROS, COM ACESSÓRIOS</t>
  </si>
  <si>
    <t>2.1</t>
  </si>
  <si>
    <t>2.2</t>
  </si>
  <si>
    <t>2.3</t>
  </si>
  <si>
    <t>2.4</t>
  </si>
  <si>
    <t>2.5</t>
  </si>
  <si>
    <t>2.6</t>
  </si>
  <si>
    <t>2.7</t>
  </si>
  <si>
    <t>2.8</t>
  </si>
  <si>
    <t>Instalações Elétricas</t>
  </si>
  <si>
    <t xml:space="preserve">DISJUNTOR MONOPOLAR TIPO DIN, CORRENTE NOMINAL DE 10A - FORNECIMENTO E INSTALAÇÃO. </t>
  </si>
  <si>
    <t>SENSOR DE PRESENÇA COM FOTOCÉLULA, FIXAÇÃO EM PAREDE - FORNECIMENTO E  INSTALAÇÃO.</t>
  </si>
  <si>
    <t xml:space="preserve">ELETRODUTO FLEXÍVEL CORRUGADO, PEAD, DN 63 (2") - FORNECIMENTO E INSTALAÇÃO.  QUADRO DE DISTRIBUIÇÃO DE ENERGIA EM PVC, DE EMBUTIR, SEM BARRAMENTO, U PARA 3 DISJUNTORES - FORNECIMENTO E INSTALAÇÃO. </t>
  </si>
  <si>
    <t>PONTO DE ILUMINAÇÃO E TOMADA, INCLUINDO INTERRUPTOR SIMPLES E TOMADA 10A/250V, CAIXA ELÉTRICA, ELETRODUTO, CABO, RASGO, QUEBRA E CHUMBAMENTO (EXCLUINDO LUMINÁRIA E LÂMPADA).</t>
  </si>
  <si>
    <t>3.1</t>
  </si>
  <si>
    <t>3.2</t>
  </si>
  <si>
    <t>3.3</t>
  </si>
  <si>
    <t>3.4</t>
  </si>
  <si>
    <t>3.5</t>
  </si>
  <si>
    <t>3.6</t>
  </si>
  <si>
    <t>3.7</t>
  </si>
  <si>
    <t>3.8</t>
  </si>
  <si>
    <t>Sanitárias - Tubos, Conexões e Equipamentos</t>
  </si>
  <si>
    <t>VASO SANITÁRIO SIFONADO COM CAIXA ACOPLADA LOUÇA BRANCA - FORNECIMENTO E INSTALAÇÃO. AF_12/2013</t>
  </si>
  <si>
    <t>SIFÃO DO TIPO GARRAFA EM METAL CROMADO 1 X 1.1/2" - FORNECIMENTO E INSTALAÇÃO. LAVATÓRIO PNE</t>
  </si>
  <si>
    <t>SIFÃO DO TIPO FLEXÍVEL EM PVC 1 X 1.1/2 - FORNECIMENTO E INSTALAÇÃO</t>
  </si>
  <si>
    <t>4.1</t>
  </si>
  <si>
    <t>4.2</t>
  </si>
  <si>
    <t>Acessórios e Detalhes Complementares</t>
  </si>
  <si>
    <t>LIMPEZA FINAL DA OBRA</t>
  </si>
  <si>
    <t>5.1</t>
  </si>
  <si>
    <t>5.2</t>
  </si>
  <si>
    <t>5.3</t>
  </si>
  <si>
    <t>Cobertura e Fechamentos</t>
  </si>
  <si>
    <t>CALHA EM CHAPA DE AÇO GALVANIZADO NÚMERO 24, DESENVOLVIMENTO DE 33 CM, INCLUSO TRANSPORTE VERTICAL.</t>
  </si>
  <si>
    <t>TUBO PVC, SÉRIE R, ÁGUA PLUVIAL, DN 75 MM, FORNECIDO E INSTALADO EM CONDUTORES VERTICAIS DE ÁGUAS PLUVIAIS.</t>
  </si>
  <si>
    <t xml:space="preserve">JOELHO 90 GRAUS, PVC, SERIE R, ÁGUA PLUVIAL, DN 75 MM, JUNTA ELÁSTICA, FORNECIDO E INSTALADO EM CONDUTORES VERTICAIS DE ÁGUAS PLUVIAIS. </t>
  </si>
  <si>
    <t>6.1</t>
  </si>
  <si>
    <t>6.2</t>
  </si>
  <si>
    <t>6.3</t>
  </si>
  <si>
    <t>6.4</t>
  </si>
  <si>
    <t>M</t>
  </si>
  <si>
    <t>UN.</t>
  </si>
  <si>
    <t xml:space="preserve">Esquadrias </t>
  </si>
  <si>
    <t>7.1</t>
  </si>
  <si>
    <t>7.2</t>
  </si>
  <si>
    <t>7.3</t>
  </si>
  <si>
    <t>7.4</t>
  </si>
  <si>
    <t>PORTA DE ALUMÍNIO VENEZIANA ANODIZADO DE ABRIR COM FERRAGENS 80 x 210</t>
  </si>
  <si>
    <t>PORTA DE ALUMÍNIO VENEZIANA ANODIZADO DE ABRIR COM FERRAGENS 90 x 210</t>
  </si>
  <si>
    <t>ALVENARIA DE VEDAÇÃO DE BLOCOS CERÂMICOS FURADOS NA VERTICAL DE 14X19X39CM (ESPESSURA 14CM) DE PAREDES COM ÁREA LÍQUIDA MENOR QUE 6M² COM VÃOS E ARGAMASSA DE ASSENTAMENTO COM PREPARO EM BETONEIRA. INCLUSO 5% DE PERDA.</t>
  </si>
  <si>
    <t>CONTRAVERGA MOLDADA IN LOCO EM CONCRETO PARA VÃOS DE ATÉ 1,5 M DE COMPRIMENTO.</t>
  </si>
  <si>
    <t xml:space="preserve">VERGA MOLDADA IN LOCO EM CONCRETO PARA JANELAS COM ATÉ 1,5 M DE VÃO. </t>
  </si>
  <si>
    <t xml:space="preserve">VERGA MOLDADA IN LOCO EM CONCRETO PARA PORTAS COM ATÉ 1,5 M DE VÃO. </t>
  </si>
  <si>
    <t>APLICAÇÃO DE FUNDO SELADOR ACRÍLICO EM TETO, UMA DEMÃO.</t>
  </si>
  <si>
    <t>APLICAÇÃO MANUAL DE PINTURA COM TINTA LÁTEX ACRÍLICA EM TETO, DUAS DEMÃOS.</t>
  </si>
  <si>
    <t>Paredes, Painéis e Revestimentos de Parede</t>
  </si>
  <si>
    <t>8.1</t>
  </si>
  <si>
    <t>8.2</t>
  </si>
  <si>
    <t>8.3</t>
  </si>
  <si>
    <t>8.4</t>
  </si>
  <si>
    <t>8.5</t>
  </si>
  <si>
    <t>8.7</t>
  </si>
  <si>
    <t>8.8</t>
  </si>
  <si>
    <t>8.9</t>
  </si>
  <si>
    <t>8.10</t>
  </si>
  <si>
    <t xml:space="preserve">DEINFRA </t>
  </si>
  <si>
    <t>Pisos, Revestimentos de Pisos e Impermeabilizações</t>
  </si>
  <si>
    <t>9.1</t>
  </si>
  <si>
    <t>9.2</t>
  </si>
  <si>
    <t>PISO EM CONCRETO 20MPA, PREPARO MECÂNICO, ESPESSURA 7 CM, COM ARMACAO EM TELA SOLDADA</t>
  </si>
  <si>
    <t>9.3</t>
  </si>
  <si>
    <t>CONTRAPISO EM ARGAMASSA TRAÇO 1:4 (CIMENTO E AREIA), PREPARO MECÂNICO COM BETONEIRA 400 L, APLICADO EM ÁREAS MOLHADAS SOBRE IMPERMEABILIZAÇÃO, ESPESSURA 3CM</t>
  </si>
  <si>
    <t>9.4</t>
  </si>
  <si>
    <t>9.6</t>
  </si>
  <si>
    <t>9.7</t>
  </si>
  <si>
    <t>9.8</t>
  </si>
  <si>
    <t>SOLEIRA EM GRANITO, LARGURA 15 CM, ESPESSURA 2,0 CM.</t>
  </si>
  <si>
    <t>FECHADURA DE EMBUTIR PARA PORTA DE BANHEIRO, COMPLETA, ACABAMENTO PADRÃO MÉDIO, INCLUSO EXECUÇÃO DE FURO - FORNECIMENTO E INSTALAÇÃO.</t>
  </si>
  <si>
    <t>Estruturas de Concreto Armado</t>
  </si>
  <si>
    <t>10.1</t>
  </si>
  <si>
    <t>10.2</t>
  </si>
  <si>
    <t>10.3</t>
  </si>
  <si>
    <t>10.4</t>
  </si>
  <si>
    <t>CALÇADA DE CONCRETO DESEMPENADO COM 6cm (13,5MPa)</t>
  </si>
  <si>
    <t>M2</t>
  </si>
  <si>
    <t xml:space="preserve">RELE FOTOELETRICO </t>
  </si>
  <si>
    <t>M3</t>
  </si>
  <si>
    <t>KIT CAVALETE PARA MEDIÇÃO DE ÁGUA - ENTRADA PRINCIPAL, EM PVC SOLDÁVEL DN 25 (¾ ) - FORNECIMENTO E INSTALAÇÃO (EXCLUSIVE HIDRÔMETRO).</t>
  </si>
  <si>
    <t>REGISTRO DE GAVETA BRUTO, LATÃO, ROSCÁVEL, 1", COM ACABAMENTO E CANOPLA CROMADOS, INSTALADO EM RESERVAÇÃO DE ÁGUA DE EDIFICAÇÃO QUE POSSUA RESERVATÓRIO DE FIBRA/FIBROCIMENTO FORNECIMENTO E INSTALAÇÃO.</t>
  </si>
  <si>
    <t>BARRA DE APOIO RETA, EM AÇO ALUMINIO, COMPRIMENTO 80 CM, DIÂMETRO MÍNIMO 3 CM</t>
  </si>
  <si>
    <t>PEITORIL LINEAR EM GRANITO OU MÁRMORE, L = 15CM, COMPRIMENTO DE ATÉ 2M, ASSENTADO COM ARGAMASSA 1:6 COM ADITIVO.</t>
  </si>
  <si>
    <t>ARRUELAS, BUCHAS, FITA ISOLANTE, CABOS, ELETRODUTOS.</t>
  </si>
  <si>
    <t>m</t>
  </si>
  <si>
    <t>LUVA SIMPLES, PVC, SERIE NORMAL, ESGOTO PREDIAL, DN 100 MM, JUNTA ELÁS  TICA, FORNECIDO E INSTALADO EM RAMAL DE DESCARGA OU RAMAL DE ESGOTO SA NITÁRIO.</t>
  </si>
  <si>
    <t xml:space="preserve">TUBULAÇÃO ESGOTO 9,55/10 m </t>
  </si>
  <si>
    <t>TUBO PVC, SERIE NORMAL, ESGOTO PREDIAL, DN 100 MM, FORNECIDO E INSTALA DO EM RAMAL DE DESCARGA OU RAMAL DE ESGOTO SANITÁRIO.</t>
  </si>
  <si>
    <t>JOELHO 90 GRAUS, PVC, SERIE NORMAL, ESGOTO PREDIAL, DN 100 MM, JUNTA ELASTICA, FORNECIDO E INSTALADO EM RAMAL DE DESCARGA OU RAMAL DE ESGOTO SANITÁRIO.</t>
  </si>
  <si>
    <t>UN</t>
  </si>
  <si>
    <t xml:space="preserve"> REDUÇÃO EXCÊNTRICA, PVC, SERIE R, ÁGUA PLUVIAL, DN 100 X 75 MM, JUNTA UN CR  ELÁSTICA, FORNECIDO E INSTALADO EM RAMAL DE ENCAMINHAMENTO.</t>
  </si>
  <si>
    <t xml:space="preserve"> TUBO PVC, SERIE NORMAL, ESGOTO PREDIAL, DN 75 MM, FORNECIDO E INSTALADO EM RAMAL DE DESCARGA OU RAMAL DE ESGOTO SANITÁRIO.</t>
  </si>
  <si>
    <t>TE, PVC, SERIE NORMAL, ESGOTO PREDIAL, DN 100 X 100 MM, JUNTA ELÁSTICA, FORNECIDO E INSTALADO EM RAMAL DE DESCARGA OU RAMAL DE ESGOTO SANITÁ RIO</t>
  </si>
  <si>
    <t xml:space="preserve"> JOELHO 90 GRAUS, PVC, SERIE NORMAL, ESGOTO PREDIAL, DN 75 MM, JUNTA ELÁSTICA, FORNECIDO E INSTALADO EM RAMAL DE DESCARGA OU RAMAL DE ESGOTO SANITÁRIO.</t>
  </si>
  <si>
    <t>TUBOS, CURVAS, JUNÇÕES, JOELHOS, REDUÇÕES, TÊS, DIÂMETROS VARIADOS. CONFORME PROJETO.</t>
  </si>
  <si>
    <t xml:space="preserve"> JOELHO 90 GRAUS, PVC, SOLDÁVEL, DN 40MM, INSTALADO EM PRUMADA DE ÁGUA  - FORNECIMENTO E INSTALAÇÃO</t>
  </si>
  <si>
    <t xml:space="preserve"> TUBO, PVC, SOLDÁVEL, DN 40MM, INSTALADO EM PRUMADA DE ÁGUA - FORNECIME NTO E INSTALAÇÃO. </t>
  </si>
  <si>
    <t xml:space="preserve"> LUVA, PVC, SOLDÁVEL, DN 40MM, INSTALADO EM PRUMADA DE ÁGUA - FORNECIMENTO E INSTALAÇÃO.</t>
  </si>
  <si>
    <t xml:space="preserve"> TE, PVC, SOLDÁVEL, DN 40MM, INSTALADO EM PRUMADA DE ÁGUA - FORNECIMENTO E INSTALAÇÃO.</t>
  </si>
  <si>
    <t xml:space="preserve">CURVA 45 GRAUS, PVC, SOLDÁVEL, DN 40MM, INSTALADO EM PRUMADA DE ÁGUA -  FORNECIMENTO E INSTALAÇÃO. </t>
  </si>
  <si>
    <t>Dife. Nivel</t>
  </si>
  <si>
    <t>1,3-2,70</t>
  </si>
  <si>
    <t xml:space="preserve">CABO DE COBRE FLEXÍVEL ISOLADO, 2,5 MM², ANTI-CHAMA 0,6/1,0 KV, PARA CIRCUITOS TERMINAIS - FORNECIMENTO E INSTALAÇÃO. </t>
  </si>
  <si>
    <t>ELETRODUTO FLEXÍVEL CORRUGADO REFORÇADO, PVC, DN 20 MM (1/2"), PARA CIRCUITOS TERMINAIS, INSTALADO EM FORRO - FORNECIMENTO E INSTALAÇÃO.</t>
  </si>
  <si>
    <t xml:space="preserve"> FITA ISOLANTE ADESIVA ANTICHAMA, USO ATE 750 V, EM ROLO DE 19 MM X 5 M</t>
  </si>
  <si>
    <t>1,4*6=8,4</t>
  </si>
  <si>
    <t>VEDACAO PVC, 100 MM, PARA SAIDA VASO SANITARIO</t>
  </si>
  <si>
    <t xml:space="preserve">6138/INSUMO </t>
  </si>
  <si>
    <t>LASTRO COM MATERIAL GRANULAR, APLICADO EM PISOS OU LAJES SOBRE SOLO, ESPESSURA DE *5 CM*  (PARA PAVER)</t>
  </si>
  <si>
    <t>21127/INSUMO</t>
  </si>
  <si>
    <t>8.6</t>
  </si>
  <si>
    <t xml:space="preserve"> LUMINÁRIA ARANDELA TIPO TARTARUGA, DE SOBREPOR, COM 1 LÂMPADA LED DE 6W, SEM REATOR - FORNECIMENTO E INSTALAÇÃO.</t>
  </si>
  <si>
    <t>CALÇAMENTO COM PAVER(20x10x08) de - 35 Mpa</t>
  </si>
  <si>
    <t>SAPATAS</t>
  </si>
  <si>
    <t>PILAR DE ARRANQUE</t>
  </si>
  <si>
    <t>PILARES</t>
  </si>
  <si>
    <t>VIGA FECHAMENTO</t>
  </si>
  <si>
    <t>LAJE</t>
  </si>
  <si>
    <t>SOMA</t>
  </si>
  <si>
    <t>VIGA BALDRAME</t>
  </si>
  <si>
    <r>
      <t xml:space="preserve">TUBOS EM PVC, ADAPTADORES, LUVAS, REDUÇÕES, CURVAS, JOELHOS, COLA, DIÂMETROS </t>
    </r>
    <r>
      <rPr>
        <sz val="11"/>
        <rFont val="Arial Narrow"/>
        <family val="2"/>
      </rPr>
      <t>CONFORME PROJETO.</t>
    </r>
  </si>
  <si>
    <t>119/insumo</t>
  </si>
  <si>
    <t xml:space="preserve"> ADESIVO PLASTICO PARA PVC, BISNAGA COM 75 GR</t>
  </si>
  <si>
    <t>SINAPI/INSUMO</t>
  </si>
  <si>
    <t xml:space="preserve"> BARRA DE APOIO RETA, EM ALUMINIO, COMPRIMENTO 60 CM, FIXADA NA PAREDE - FORNECIMENTO E INSTALAÇÃO. </t>
  </si>
  <si>
    <t>6.5</t>
  </si>
  <si>
    <t>GUIA (MEIO-FIO) CONCRETO, MOLDADA IN LOCO EM TRECHO RETO COM EXTRUSORA, 15 CM BASE X 30 CM ALTURA.</t>
  </si>
  <si>
    <t xml:space="preserve"> PISO DE BORRACHA ESPORTIVO, ESPESSURA 15MM, ASSENTADO COM ARGAMASSA.</t>
  </si>
  <si>
    <t xml:space="preserve">LUMINÁRIA TIPO PLAFON, DE SOBREPOR, COM 1 LÂMPADA LED DE 12/13 W, SEM REATOR - FORNECIMENTO E INSTALAÇÃO. </t>
  </si>
  <si>
    <t xml:space="preserve"> REVESTIMENTO CERÂMICO PARA PISO COM PLACAS TIPO ESMALTADA EXTRA DE DIMENSÕES 60X60 CM APLICADA EM AMBIENTES DE ÁREA MENOR QUE 5 M2.</t>
  </si>
  <si>
    <t>APLICAÇÃO MANUAL DE PINTURA COM TINTA LÁTEX ACRÍLICA EM PAREDES EXTERNAS, DUAS DEMÃOS.</t>
  </si>
  <si>
    <t>TELA DE ARAME GALVANIZADO FIO 12# 8 P/ ALAMBRADO</t>
  </si>
  <si>
    <t xml:space="preserve">LIMPEZA DE REVESTIMENTO CERÂMICO EM PAREDE UTILIZANDO ÁCIDO MURIÁTICO. </t>
  </si>
  <si>
    <t>LIMPEZA DE PISO CERÂMICO OU COM PEDRAS RÚSTICAS UTILIZANDO ÁCIDO MURIÁTICO</t>
  </si>
  <si>
    <t xml:space="preserve"> LIMPEZA DE SUPERFÍCIE COM JATO DE ALTA PRESSÃO.</t>
  </si>
  <si>
    <t>REVESTIMENTO CERÂMICO PARA PAREDE INTERNA COM PLACAS TIPO ESMALTADA EXTRA DE DIMENSÕES 60X60 CM APLICADA EM AMBIENTES DE ÁREA MAIOR QUE 10 M2.</t>
  </si>
  <si>
    <t xml:space="preserve"> FABRICAÇÃO E INSTALAÇÃO DE TESOURA INTEIRA EM MADEIRA NÃO APARELHADA, VÃO DE 3 M, PARA TELHA ONDULADA DE FIBROCIMENTO, METÁLICA, PLÁSTICA OU  TERMOACÚSTICA, INCLUSO IÇAMENTO.</t>
  </si>
  <si>
    <t xml:space="preserve">TELHAMENTO COM TELHA ESTRUTURAL DE FIBROCIMENTO E= 6 MM, COM ATÉ 2 ÁGUAS, INCLUSO IÇAMENTO. </t>
  </si>
  <si>
    <t>CONCRETO FCK = 20MPA, TRAÇO 1:2,7:3 (CIMENTO/ AREIA MÉDIA/ BRITA 1)  PREPARO MECÂNICO COM BETONEIRA 600 L. (PARA BANCO DE CONCRETO)</t>
  </si>
  <si>
    <t>https://www.leroymerlin.com.br/quadrado-de-madeira-pinus-natural-3x3x220cm-massol_90664714</t>
  </si>
  <si>
    <t>https://www.sodimac.com.br/dicico-br/product/716309/Quadrado-Eucalipto-Aplainado-3x3x250cm/716309</t>
  </si>
  <si>
    <t>https://www.redeconstruirvp.com.br/madeiras/552-perna-3x3-pinus-mt.html</t>
  </si>
  <si>
    <t>HRS</t>
  </si>
  <si>
    <t xml:space="preserve">PORCENTAGEM ADICIONAL DE 10% PARA MATERIAIS COMO PREGOS E BUCHAS </t>
  </si>
  <si>
    <t xml:space="preserve"> MARCENEIRO COM ENCARGOS COMPLEMENTARES (Montagem do painél)</t>
  </si>
  <si>
    <t>M2.</t>
  </si>
  <si>
    <t xml:space="preserve">PINTURA VERNIZ (INCOLOR) ALQUÍDICO EM MADEIRA, USO INTERNO E EXTERNO, 
 2 DEMÃOS. </t>
  </si>
  <si>
    <t>https://www.beijaflormadeiras.com.br/sarrafo-de-pinus-aparelhado-7-cm/</t>
  </si>
  <si>
    <t>https://deckdeck.com.br/produto/sarrafo-20cm-x-70cm-madeira-pinus-tratado-aparelhado-caixa-c-06-pecas-300-metros/</t>
  </si>
  <si>
    <t>CX c/ 6 peças</t>
  </si>
  <si>
    <t>https://produto.mercadolivre.com.br/MLB-1835022014-sarrafo-de-pinus-aparelhado-7-cm-_JM#position=1&amp;search_layout=stack&amp;type=item&amp;tracking_id=e3fe0550-926e-410c-910a-16ffc975dca9</t>
  </si>
  <si>
    <t>TOTAL</t>
  </si>
  <si>
    <t>SERVIÇOS E INSUMOS</t>
  </si>
  <si>
    <t>2º DECKS</t>
  </si>
  <si>
    <t xml:space="preserve">COMPOSIÇÃO </t>
  </si>
  <si>
    <t>MADEIRAS PARA DECKS, PAINÉIS RIPADOS, TINTA E SERVIÇOS</t>
  </si>
  <si>
    <t>ORÇAMENTO PARA PAINÉL RIPADO</t>
  </si>
  <si>
    <t>ORÇAMENTO PARA DECK</t>
  </si>
  <si>
    <t>ORÇAMENTO DA MADEIRA PARA SUSTENTAÇÃO DO PAINÉL</t>
  </si>
  <si>
    <t>ORÇ. PAINÉL</t>
  </si>
  <si>
    <t xml:space="preserve">ORÇ. SUSTE. </t>
  </si>
  <si>
    <t>ORÇ. DECKS</t>
  </si>
  <si>
    <t>SEGUNDO DECK COM AS MESMAS DIMENSÕES</t>
  </si>
  <si>
    <t xml:space="preserve"> MARCENEIRO COM ENCARGOS COMPLEMENTARES (Montagem dos Decks)</t>
  </si>
  <si>
    <t xml:space="preserve">Estrutura de Concreto </t>
  </si>
  <si>
    <t>m³</t>
  </si>
  <si>
    <t xml:space="preserve">Madeira </t>
  </si>
  <si>
    <t>PORTAL DE ENTRADA</t>
  </si>
  <si>
    <t>https://www.obramax.com.br/sarrafo-pinus-aparelhado-25x10cm-10m-89201525.html</t>
  </si>
  <si>
    <t>https://www.leroymerlin.com.br/sarrafo-de-madeira-pinus-natural-10x3x100cm-massol_90664994</t>
  </si>
  <si>
    <t xml:space="preserve"> MARCENEIRO COM ENCARGOS COMPLEMENTARES (aparelhamento da madeira )</t>
  </si>
  <si>
    <t>https://www.beijaflormadeiras.com.br/sarrado-pinus-aparelhado-10cm/</t>
  </si>
  <si>
    <t>ORÇAMENTO DA MADEIRA PARA PORTÃO DE ENTRADA</t>
  </si>
  <si>
    <t>PILAR</t>
  </si>
  <si>
    <t>VIGA</t>
  </si>
  <si>
    <t>FUNDAÇÃO</t>
  </si>
  <si>
    <t xml:space="preserve"> MARCENEIRO COM ENCARGOS COMPLEMENTARES (montagem do portal)</t>
  </si>
  <si>
    <t>PISO EM CONCRETO 20MPA, PREPARO MECÂNICO, ESPESSURA 7 CM, COM ARMACAO EM TELA SOLDADA (PISO PARA O ENCAIXE DOS DECKS )</t>
  </si>
  <si>
    <t>CONCRETO ARMADO USINADO EM VIGAS DE BALDRAME/ 20 MPa .</t>
  </si>
  <si>
    <t>CONCRETO ARMADO USINADO, EM FUNDAÇÕES (BLOCOS/SAPATAS)/ 20 MPa.</t>
  </si>
  <si>
    <t>CONCRETO ARMADO PRÉ MOLDADO, 20 MPa. PILARES</t>
  </si>
  <si>
    <t>CONCRETO ARMADO PRÉ MOLDADO, 20 MPa. VIGAS FECHAMENTO</t>
  </si>
  <si>
    <t>LAJE DE CONCRETO ARMADO - CONCRETO USINADO (15 Mpa)</t>
  </si>
  <si>
    <t>CONCRETO ARMADO USINADO MOLDADO IN LOCO, 20 MPa. PILARES (CONSIDERADO 1,5 METROS DE ARRANQUE).</t>
  </si>
  <si>
    <t>CONCRETO ARMADO USINADO MOLDADO IN LOCO, 20 MPa. PILARES (CONSIDERADO 1,0 METROS DE ARRANQUE).</t>
  </si>
  <si>
    <t xml:space="preserve"> FILTRO ANAERÓBIO RETANGULAR, EM ALVENARIA COM BLOCOS DE CONCRETO, DIMENSÕES INTERNAS: 0,8 X 1,2 X 1,67 M, VOLUME ÚTIL: 1152 L</t>
  </si>
  <si>
    <t xml:space="preserve"> TANQUE SÉPTICO RETANGULAR, EM ALVENARIA COM BLOCOS DE CONCRETO, DIMENSÕES INTERNAS: 1,0 X 2,0 X 1,4 M, VOLUME ÚTIL: 2000 L</t>
  </si>
  <si>
    <t>4.3</t>
  </si>
  <si>
    <t xml:space="preserve"> SUMIDOURO CIRCULAR, EM CONCRETO PRÉ-MOLDADO, DIÂMETRO INTERNO = 1,88 M UN AS 2.090,56 , ALTURA INTERNA = 2,00 M, ÁREA DE INFILTRAÇÃO: 13,1 M²</t>
  </si>
  <si>
    <t>4.4</t>
  </si>
  <si>
    <t>VASO SANITÁRIO SIFONADO COM CAIXA ACOPLADA LOUÇA BRANCA - FORNECIMENTO E INSTALAÇÃO. AF_01/2020</t>
  </si>
  <si>
    <t xml:space="preserve"> PISO PODOTATIL DE ALERTA OU DIRECIONAL, ASSENTADO SOBRE ARGAMASSA</t>
  </si>
  <si>
    <t>UM</t>
  </si>
  <si>
    <t>MADEIRA PARA BANCO RIPADO</t>
  </si>
  <si>
    <t>PILAR MADEIRA TRATADA 20X20X300 (PERGOLADO)</t>
  </si>
  <si>
    <t>VIGAS MADEIRA TRATADA 5X10X300 (PERGOLADO)</t>
  </si>
  <si>
    <t>CHAPISCO APLICADO EM ALVENARIAS E ESTRUTURAS DE CONCRETO INTERNAS E EXTERNAS, COM COLHER DE PEDREIRO. ARGAMASSA TRAÇO 1:3 COM PREPARO EM BETONEIRA 400L.</t>
  </si>
  <si>
    <t xml:space="preserve"> M2</t>
  </si>
  <si>
    <t>5.4</t>
  </si>
  <si>
    <t>KIT DE ACESSORIOS PARA BANHEIRO EM METAL CROMADO 05 PEÇAS, INCLUSO FIXAÇÃO</t>
  </si>
  <si>
    <t>MASSA ÚNICA, PARA RECEBIMENTO DE PINTURA OU CERÂMICA, EM ARGAMASSA TRAÇO 1:5, PREPARO MECÂNICO COM BETONEIRA 400L, APLICADA MANUALMENTE EM FACES  EXTERNAS E INTERNAS DAS PAREDES, ESPESSURA DE 15MM, COM EXECUÇÃO DE TALISCAS.</t>
  </si>
  <si>
    <t>IMPERMEABILIZAÇÃO DE FLOREIRA OU VIGA DE BALDRAME COM ARGAMASSA DE CIMENTO OU AREIA COM ADITIVO IMPERMEABILIZANTE E=2cm</t>
  </si>
  <si>
    <t>9.5</t>
  </si>
  <si>
    <t>ITEM</t>
  </si>
  <si>
    <t xml:space="preserve">DISCRIMINAÇÃO </t>
  </si>
  <si>
    <t>VALOR DAS ETAPAS</t>
  </si>
  <si>
    <t>PERÍODO (MÊS)</t>
  </si>
  <si>
    <t>MÊS 01</t>
  </si>
  <si>
    <t>MÊS 02</t>
  </si>
  <si>
    <t>PESO (%)</t>
  </si>
  <si>
    <t>%</t>
  </si>
  <si>
    <t>R$</t>
  </si>
  <si>
    <t>TOTAL NO MÊS (SIMPLES)</t>
  </si>
  <si>
    <t>TOTAL NO MÊS (ACUMULADO)</t>
  </si>
  <si>
    <t>3.9</t>
  </si>
  <si>
    <t>3.10</t>
  </si>
  <si>
    <t>3.11</t>
  </si>
  <si>
    <t>3.12</t>
  </si>
  <si>
    <t>3.13</t>
  </si>
  <si>
    <t>4.5</t>
  </si>
  <si>
    <t>4.6</t>
  </si>
  <si>
    <t>4.7</t>
  </si>
  <si>
    <t>5.5</t>
  </si>
  <si>
    <t>5.6</t>
  </si>
  <si>
    <t>5.7</t>
  </si>
  <si>
    <t>5.8</t>
  </si>
  <si>
    <t>5.9</t>
  </si>
  <si>
    <t>5.10</t>
  </si>
  <si>
    <t>5.11</t>
  </si>
  <si>
    <t>Sub-Total</t>
  </si>
  <si>
    <t>JANELA DE ALUMÍNIO DE CORRER COM 2 FOLHAS PARA VIDROS, COM VIDROS, BATENTE, ACABAMENTO COM ACETATO OU BRILHANTE E FERRAGENS. EXCLUSIVE ALIZAR E CONTRAMARCO. FORNECIMENTO E INSTALAÇÃO.  TAMANHO (100 X 60)</t>
  </si>
  <si>
    <t>JANELA DE ALUMÍNIO DE CORRER COM 2 FOLHAS PARA VIDROS, COM VIDROS, BATENTE, ACABAMENTO COM ACETATO OU BRILHANTE E FERRAGENS. EXCLUSIVE ALIZAR E CONTRAMARCO. FORNECIMENTO E INSTALAÇÃO.  TAMANHO (125 X 60)</t>
  </si>
  <si>
    <t>MÊS 03</t>
  </si>
  <si>
    <t>MIN</t>
  </si>
  <si>
    <t>MED</t>
  </si>
  <si>
    <t>MAX</t>
  </si>
  <si>
    <t>Grau de Sigilo</t>
  </si>
  <si>
    <t>Construção e Reforma de Edifícios</t>
  </si>
  <si>
    <t>AC</t>
  </si>
  <si>
    <t>#PUBLICO</t>
  </si>
  <si>
    <t>SG</t>
  </si>
  <si>
    <t>R</t>
  </si>
  <si>
    <t>Nº TC/CR</t>
  </si>
  <si>
    <t>PROPONENTE / TOMADOR</t>
  </si>
  <si>
    <t>DF</t>
  </si>
  <si>
    <t>L</t>
  </si>
  <si>
    <t>BDI PAD</t>
  </si>
  <si>
    <t>OBJETO</t>
  </si>
  <si>
    <t>Construção de Praças Urbanas, Rodovias, Ferrovias e recapeamento e pavimentação de vias urbanas</t>
  </si>
  <si>
    <t>TIPO DE OBRA DO EMPREENDIMENTO</t>
  </si>
  <si>
    <t>DESONERAÇÃO</t>
  </si>
  <si>
    <t>Sim</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</si>
  <si>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</si>
  <si>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</si>
  <si>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</si>
  <si>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</si>
  <si>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</si>
  <si>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</si>
  <si>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</si>
  <si>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1º Quartil</t>
  </si>
  <si>
    <t>Médio</t>
  </si>
  <si>
    <t>3º Quartil</t>
  </si>
  <si>
    <t>Construção e Manutenção de Estações e Redes de Distribuição de Energia Elétrica</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</si>
  <si>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</si>
  <si>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</si>
  <si>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</si>
  <si>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</si>
  <si>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</si>
  <si>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</si>
  <si>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</si>
  <si>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Obras Portuárias, Marítimas e Fluviais</t>
  </si>
  <si>
    <t>BDI COM desoneração</t>
  </si>
  <si>
    <t>BDI DES</t>
  </si>
  <si>
    <t>pedir anexo</t>
  </si>
  <si>
    <t>Anexo: Relatório Técnico Circunstanciado justificando a adoção do percentual de cada parcela do BDI.</t>
  </si>
  <si>
    <t>anexo apresentado</t>
  </si>
  <si>
    <t>Os valores de BDI foram calculados com o emprego da fórmula:</t>
  </si>
  <si>
    <t xml:space="preserve"> - 1</t>
  </si>
  <si>
    <t>Fornecimento de Materiais e Equipamentos</t>
  </si>
  <si>
    <t>Observações:</t>
  </si>
  <si>
    <t>Local</t>
  </si>
  <si>
    <t>Data</t>
  </si>
  <si>
    <t>Estudos e Projetos, Planos e Gerenciamento e outros correlatos</t>
  </si>
  <si>
    <t>K1</t>
  </si>
  <si>
    <t>K2</t>
  </si>
  <si>
    <t/>
  </si>
  <si>
    <t>Responsável Técnico</t>
  </si>
  <si>
    <t>Responsável Tomador</t>
  </si>
  <si>
    <t>Nome:</t>
  </si>
  <si>
    <t>K3</t>
  </si>
  <si>
    <t>Título:</t>
  </si>
  <si>
    <t>Arquiteta e Urbanista</t>
  </si>
  <si>
    <t>Cargo:</t>
  </si>
  <si>
    <t>Prefeito Municipal</t>
  </si>
  <si>
    <t>CREA/CAU:</t>
  </si>
  <si>
    <t>ART/RRT:</t>
  </si>
  <si>
    <t>Prefeitura Municipal de Ipumirim</t>
  </si>
  <si>
    <t>Ipumirim</t>
  </si>
  <si>
    <t>Hilario Reffatti</t>
  </si>
  <si>
    <t>Área Total (m²): 905,18m²</t>
  </si>
  <si>
    <t>VALOR TOTAL</t>
  </si>
  <si>
    <t>BDI</t>
  </si>
  <si>
    <t>Valor Final</t>
  </si>
  <si>
    <t>Ipumirim, junho de 2021</t>
  </si>
  <si>
    <t>Laís Pegoraro Polo</t>
  </si>
  <si>
    <t>CAU A189866-3</t>
  </si>
  <si>
    <t>CRONOGRAMA</t>
  </si>
  <si>
    <t>A189866-3</t>
  </si>
  <si>
    <t>Obra: Remodelação do Parque Infantil, para uso público, situado na Avenida Rio Branco, de propriedade do Município de Ipumirim-SC</t>
  </si>
  <si>
    <t>Remodelação do Parque Infantil, para uso público, situado na Avenida Rio Branco, de propriedade do Município de Ipumirim-SC</t>
  </si>
  <si>
    <t>SI10943709R01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</si>
</sst>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quot;R$&quot;\ #,##0.00"/>
    <numFmt numFmtId="166" formatCode="_(&quot;R$ &quot;* #,##0.00_);_(&quot;R$ &quot;* \(#,##0.00\);_(&quot;R$ &quot;* &quot;-&quot;??_);_(@_)"/>
    <numFmt numFmtId="167" formatCode="General;General;"/>
    <numFmt numFmtId="168" formatCode="[$-F800]dddd\,\ mmmm\ dd\,\ yyyy"/>
    <numFmt numFmtId="169" formatCode="dd\ &quot;de&quot;\ mmmm\ &quot;de&quot;\ yyyy"/>
  </numFmts>
  <fonts count="30" x14ac:knownFonts="1">
    <font>
      <sz val="11"/>
      <color theme="1"/>
      <name val="Calibri"/>
      <family val="2"/>
      <scheme val="minor"/>
    </font>
    <font>
      <b/>
      <sz val="11"/>
      <color rgb="FF000000"/>
      <name val="Arial Narrow"/>
      <family val="2"/>
    </font>
    <font>
      <sz val="11"/>
      <color rgb="FF000000"/>
      <name val="Arial Narrow"/>
      <family val="2"/>
    </font>
    <font>
      <b/>
      <sz val="11"/>
      <name val="Arial Narrow"/>
      <family val="2"/>
    </font>
    <font>
      <sz val="11"/>
      <color theme="1"/>
      <name val="Arial Narrow"/>
      <family val="2"/>
    </font>
    <font>
      <sz val="11"/>
      <name val="Arial Narrow"/>
      <family val="2"/>
    </font>
    <font>
      <u/>
      <sz val="11"/>
      <color theme="1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2"/>
      <name val="Arial"/>
      <family val="2"/>
    </font>
    <font>
      <b/>
      <sz val="10"/>
      <color indexed="12"/>
      <name val="Arial"/>
      <family val="2"/>
    </font>
    <font>
      <sz val="9"/>
      <name val="Arial"/>
      <family val="2"/>
    </font>
    <font>
      <b/>
      <u/>
      <sz val="15"/>
      <name val="Arial"/>
      <family val="2"/>
    </font>
    <font>
      <b/>
      <sz val="11"/>
      <name val="Arial"/>
      <family val="2"/>
    </font>
    <font>
      <b/>
      <sz val="20"/>
      <color indexed="10"/>
      <name val="Arial"/>
      <family val="2"/>
    </font>
    <font>
      <sz val="11"/>
      <name val="Arial"/>
      <family val="2"/>
    </font>
    <font>
      <b/>
      <sz val="12"/>
      <color indexed="10"/>
      <name val="Arial"/>
      <family val="2"/>
    </font>
    <font>
      <sz val="11"/>
      <color indexed="9"/>
      <name val="Arial"/>
      <family val="2"/>
    </font>
    <font>
      <b/>
      <sz val="11"/>
      <color indexed="12"/>
      <name val="Arial"/>
      <family val="2"/>
    </font>
    <font>
      <b/>
      <sz val="18"/>
      <name val="Arial"/>
      <family val="2"/>
    </font>
    <font>
      <sz val="10.5"/>
      <name val="Arial"/>
      <family val="2"/>
    </font>
    <font>
      <i/>
      <sz val="12"/>
      <name val="Calibri"/>
      <family val="2"/>
    </font>
    <font>
      <i/>
      <u/>
      <sz val="12"/>
      <name val="Calibri"/>
      <family val="2"/>
    </font>
    <font>
      <u/>
      <sz val="10"/>
      <name val="Arial"/>
      <family val="2"/>
    </font>
    <font>
      <sz val="12"/>
      <name val="Arial"/>
      <family val="2"/>
    </font>
    <font>
      <b/>
      <sz val="12"/>
      <color rgb="FF000000"/>
      <name val="Arial"/>
      <family val="2"/>
    </font>
    <font>
      <b/>
      <sz val="11"/>
      <color theme="1"/>
      <name val="Arial Narrow"/>
      <family val="2"/>
    </font>
  </fonts>
  <fills count="12">
    <fill>
      <patternFill patternType="none"/>
    </fill>
    <fill>
      <patternFill patternType="gray125"/>
    </fill>
    <fill>
      <patternFill patternType="solid">
        <fgColor rgb="FFFFFFFF"/>
        <bgColor rgb="FF000000"/>
      </patternFill>
    </fill>
    <fill>
      <patternFill patternType="solid">
        <fgColor rgb="FF808080"/>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
      <patternFill patternType="solid">
        <fgColor theme="7"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rgb="FFFFFF99"/>
        <bgColor indexed="64"/>
      </patternFill>
    </fill>
    <fill>
      <patternFill patternType="solid">
        <fgColor indexed="43"/>
        <bgColor indexed="64"/>
      </patternFill>
    </fill>
  </fills>
  <borders count="1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6">
    <xf numFmtId="0" fontId="0" fillId="0" borderId="0"/>
    <xf numFmtId="0" fontId="6" fillId="0" borderId="0" applyNumberFormat="0" applyFill="0" applyBorder="0" applyAlignment="0" applyProtection="0"/>
    <xf numFmtId="9" fontId="8" fillId="0" borderId="0" applyFont="0" applyFill="0" applyBorder="0" applyAlignment="0" applyProtection="0"/>
    <xf numFmtId="0" fontId="10" fillId="0" borderId="0"/>
    <xf numFmtId="0" fontId="14" fillId="0" borderId="0"/>
    <xf numFmtId="166" fontId="10" fillId="0" borderId="0" applyFont="0" applyFill="0" applyBorder="0" applyAlignment="0" applyProtection="0"/>
  </cellStyleXfs>
  <cellXfs count="246">
    <xf numFmtId="0" fontId="0" fillId="0" borderId="0" xfId="0"/>
    <xf numFmtId="4" fontId="2" fillId="3"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0" borderId="4" xfId="0" applyFont="1" applyFill="1" applyBorder="1" applyAlignment="1">
      <alignment horizontal="left" vertical="center" wrapText="1"/>
    </xf>
    <xf numFmtId="0" fontId="4" fillId="0" borderId="0" xfId="0" applyFont="1"/>
    <xf numFmtId="0" fontId="4" fillId="0" borderId="4" xfId="0" applyFont="1" applyBorder="1"/>
    <xf numFmtId="0" fontId="2" fillId="4" borderId="4" xfId="0" applyFont="1" applyFill="1" applyBorder="1" applyAlignment="1">
      <alignment horizontal="left" vertical="center" wrapText="1"/>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vertical="center"/>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0" xfId="0" applyBorder="1"/>
    <xf numFmtId="0" fontId="4" fillId="4" borderId="4" xfId="0" applyFont="1" applyFill="1" applyBorder="1" applyAlignment="1">
      <alignment horizontal="left"/>
    </xf>
    <xf numFmtId="0" fontId="2" fillId="5"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2" fillId="0" borderId="0" xfId="0" applyFont="1" applyBorder="1" applyAlignment="1">
      <alignment horizontal="left" vertical="center" wrapText="1"/>
    </xf>
    <xf numFmtId="0" fontId="4" fillId="5" borderId="8" xfId="0" applyFont="1" applyFill="1" applyBorder="1" applyAlignment="1">
      <alignment horizontal="center"/>
    </xf>
    <xf numFmtId="0" fontId="4" fillId="8" borderId="4" xfId="0" applyFont="1" applyFill="1" applyBorder="1" applyAlignment="1">
      <alignment horizontal="center"/>
    </xf>
    <xf numFmtId="0" fontId="4" fillId="0" borderId="0" xfId="0" applyFont="1" applyBorder="1" applyAlignment="1">
      <alignment horizontal="center" vertical="center"/>
    </xf>
    <xf numFmtId="0" fontId="0" fillId="0" borderId="0" xfId="0" applyAlignment="1">
      <alignment horizontal="center" vertical="center" wrapText="1"/>
    </xf>
    <xf numFmtId="0" fontId="4" fillId="0" borderId="4" xfId="0" applyFont="1" applyFill="1" applyBorder="1" applyAlignment="1">
      <alignment horizontal="center" vertical="center" wrapText="1"/>
    </xf>
    <xf numFmtId="2" fontId="0" fillId="0" borderId="0" xfId="0" applyNumberFormat="1"/>
    <xf numFmtId="0" fontId="0" fillId="0" borderId="0" xfId="0" applyAlignment="1">
      <alignment wrapText="1"/>
    </xf>
    <xf numFmtId="0" fontId="2" fillId="0" borderId="0"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0" fillId="5" borderId="0" xfId="0" applyFill="1" applyBorder="1"/>
    <xf numFmtId="0" fontId="4" fillId="0" borderId="0" xfId="0" applyFont="1" applyBorder="1"/>
    <xf numFmtId="0" fontId="2" fillId="0" borderId="6" xfId="0" applyFont="1" applyFill="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164" fontId="0" fillId="0" borderId="0" xfId="0" applyNumberFormat="1"/>
    <xf numFmtId="0" fontId="0" fillId="5" borderId="4" xfId="0" applyFill="1" applyBorder="1"/>
    <xf numFmtId="0" fontId="4" fillId="5" borderId="4"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0" xfId="0" applyFont="1" applyFill="1" applyBorder="1"/>
    <xf numFmtId="0" fontId="4" fillId="5" borderId="4" xfId="0" applyFont="1" applyFill="1" applyBorder="1"/>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4" borderId="7" xfId="0" applyFont="1" applyFill="1" applyBorder="1" applyAlignment="1">
      <alignment horizontal="left" vertical="center" wrapText="1"/>
    </xf>
    <xf numFmtId="0" fontId="3" fillId="6" borderId="4" xfId="0" applyFont="1" applyFill="1" applyBorder="1" applyAlignment="1">
      <alignment horizontal="left" vertical="center" wrapText="1"/>
    </xf>
    <xf numFmtId="0" fontId="4" fillId="4" borderId="4" xfId="0" applyFont="1" applyFill="1" applyBorder="1" applyAlignment="1">
      <alignment horizontal="left" vertical="top"/>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5"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2" fontId="4" fillId="5" borderId="8" xfId="0" applyNumberFormat="1" applyFont="1" applyFill="1" applyBorder="1" applyAlignment="1">
      <alignment horizontal="center"/>
    </xf>
    <xf numFmtId="2" fontId="4" fillId="0" borderId="0" xfId="0" applyNumberFormat="1" applyFont="1"/>
    <xf numFmtId="2" fontId="4" fillId="8" borderId="4" xfId="0" applyNumberFormat="1" applyFont="1" applyFill="1" applyBorder="1" applyAlignment="1">
      <alignment horizontal="center"/>
    </xf>
    <xf numFmtId="2" fontId="4" fillId="0" borderId="0" xfId="0" applyNumberFormat="1" applyFont="1" applyAlignment="1">
      <alignment horizontal="center" vertical="center"/>
    </xf>
    <xf numFmtId="0" fontId="0" fillId="0" borderId="4" xfId="0" applyBorder="1" applyAlignment="1">
      <alignment horizontal="center" vertical="center" wrapText="1"/>
    </xf>
    <xf numFmtId="0" fontId="6" fillId="0" borderId="4" xfId="1" applyBorder="1" applyAlignment="1">
      <alignment horizontal="center" vertical="center" wrapText="1"/>
    </xf>
    <xf numFmtId="0" fontId="0" fillId="0" borderId="4" xfId="0" applyFont="1" applyBorder="1" applyAlignment="1">
      <alignment horizontal="center" vertical="center" wrapText="1"/>
    </xf>
    <xf numFmtId="0" fontId="0" fillId="0" borderId="4" xfId="1" applyFont="1" applyBorder="1" applyAlignment="1">
      <alignment horizontal="center" vertical="center" wrapText="1"/>
    </xf>
    <xf numFmtId="0" fontId="0" fillId="0" borderId="0" xfId="0" applyAlignment="1">
      <alignment horizontal="center" wrapText="1"/>
    </xf>
    <xf numFmtId="0" fontId="0" fillId="0" borderId="4" xfId="0" applyFill="1" applyBorder="1" applyAlignment="1">
      <alignment horizontal="center" vertical="center"/>
    </xf>
    <xf numFmtId="0" fontId="0" fillId="0" borderId="0" xfId="0" applyBorder="1" applyAlignment="1">
      <alignment wrapText="1"/>
    </xf>
    <xf numFmtId="0" fontId="0" fillId="4" borderId="6"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4" borderId="7" xfId="0" applyFill="1" applyBorder="1" applyAlignment="1">
      <alignment horizontal="center" vertical="center"/>
    </xf>
    <xf numFmtId="0" fontId="0" fillId="0" borderId="0" xfId="0" applyFill="1" applyBorder="1" applyAlignment="1">
      <alignment horizontal="center" vertical="center"/>
    </xf>
    <xf numFmtId="2" fontId="0" fillId="4" borderId="6" xfId="0" applyNumberFormat="1" applyFill="1" applyBorder="1" applyAlignment="1">
      <alignment horizontal="center" vertical="center"/>
    </xf>
    <xf numFmtId="2" fontId="0" fillId="0" borderId="4" xfId="0" applyNumberFormat="1" applyBorder="1" applyAlignment="1">
      <alignment horizontal="center" vertical="center"/>
    </xf>
    <xf numFmtId="0" fontId="7" fillId="0" borderId="4" xfId="0" applyFont="1" applyBorder="1" applyAlignment="1">
      <alignment vertical="center" wrapText="1"/>
    </xf>
    <xf numFmtId="0" fontId="0" fillId="0" borderId="4" xfId="0" applyBorder="1"/>
    <xf numFmtId="0" fontId="0" fillId="5" borderId="4" xfId="0" applyFill="1" applyBorder="1" applyAlignment="1">
      <alignment horizontal="center" vertical="center" wrapText="1"/>
    </xf>
    <xf numFmtId="0" fontId="6" fillId="5" borderId="4" xfId="1" applyFill="1" applyBorder="1" applyAlignment="1">
      <alignment horizontal="center" vertical="center" wrapText="1"/>
    </xf>
    <xf numFmtId="0" fontId="0" fillId="5" borderId="4" xfId="0" applyFill="1" applyBorder="1" applyAlignment="1">
      <alignment horizontal="center" vertical="center"/>
    </xf>
    <xf numFmtId="0" fontId="0" fillId="5" borderId="0" xfId="0" applyFill="1"/>
    <xf numFmtId="165" fontId="0" fillId="0" borderId="4" xfId="0" applyNumberFormat="1" applyBorder="1" applyAlignment="1">
      <alignment horizontal="center" vertical="center" wrapText="1"/>
    </xf>
    <xf numFmtId="165" fontId="0" fillId="0" borderId="4" xfId="0" applyNumberFormat="1" applyBorder="1"/>
    <xf numFmtId="2" fontId="4" fillId="0" borderId="4"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4" fontId="4" fillId="0" borderId="4" xfId="0" applyNumberFormat="1" applyFont="1" applyBorder="1" applyAlignment="1">
      <alignment horizontal="center" vertical="center" wrapText="1"/>
    </xf>
    <xf numFmtId="2" fontId="0" fillId="0" borderId="4" xfId="0" applyNumberFormat="1" applyBorder="1" applyAlignment="1">
      <alignment horizontal="center" vertical="center" wrapText="1"/>
    </xf>
    <xf numFmtId="0" fontId="4" fillId="9" borderId="4" xfId="0" applyFont="1" applyFill="1" applyBorder="1" applyAlignment="1">
      <alignment horizontal="center" vertical="center" wrapText="1"/>
    </xf>
    <xf numFmtId="2" fontId="4" fillId="9" borderId="4" xfId="0" applyNumberFormat="1" applyFont="1" applyFill="1" applyBorder="1" applyAlignment="1">
      <alignment horizontal="center" vertical="center" wrapText="1"/>
    </xf>
    <xf numFmtId="0" fontId="4" fillId="9" borderId="4" xfId="0" applyFont="1" applyFill="1" applyBorder="1" applyAlignment="1">
      <alignment horizontal="center" vertical="center"/>
    </xf>
    <xf numFmtId="0" fontId="4" fillId="9" borderId="9" xfId="0" applyFont="1" applyFill="1" applyBorder="1" applyAlignment="1">
      <alignment horizontal="center" vertical="center" wrapText="1"/>
    </xf>
    <xf numFmtId="0" fontId="9" fillId="0" borderId="4" xfId="0" applyFont="1" applyBorder="1"/>
    <xf numFmtId="0" fontId="9" fillId="0" borderId="4" xfId="0" applyFont="1" applyBorder="1" applyAlignment="1">
      <alignment horizontal="center" vertical="center"/>
    </xf>
    <xf numFmtId="4" fontId="9" fillId="0" borderId="4" xfId="0" applyNumberFormat="1" applyFont="1" applyBorder="1"/>
    <xf numFmtId="10" fontId="9" fillId="0" borderId="4" xfId="2" applyNumberFormat="1" applyFont="1" applyBorder="1"/>
    <xf numFmtId="9" fontId="0" fillId="0" borderId="4" xfId="2" applyFont="1" applyBorder="1"/>
    <xf numFmtId="4" fontId="0" fillId="0" borderId="4" xfId="0" applyNumberFormat="1" applyBorder="1"/>
    <xf numFmtId="10" fontId="9" fillId="0" borderId="4" xfId="0" applyNumberFormat="1" applyFont="1" applyBorder="1"/>
    <xf numFmtId="0" fontId="1" fillId="0" borderId="4" xfId="0" applyFont="1" applyBorder="1" applyAlignment="1">
      <alignment horizontal="center" vertical="center" wrapText="1"/>
    </xf>
    <xf numFmtId="0" fontId="2" fillId="0" borderId="4" xfId="0" applyFont="1" applyFill="1" applyBorder="1" applyAlignment="1">
      <alignment vertical="center" wrapText="1"/>
    </xf>
    <xf numFmtId="0" fontId="9" fillId="0" borderId="4" xfId="0" applyFont="1" applyBorder="1" applyAlignment="1">
      <alignment horizontal="center" vertical="center"/>
    </xf>
    <xf numFmtId="0" fontId="10" fillId="0" borderId="0" xfId="3" applyFont="1" applyProtection="1"/>
    <xf numFmtId="0" fontId="11" fillId="0" borderId="0" xfId="3" applyFont="1" applyAlignment="1" applyProtection="1">
      <alignment horizontal="center"/>
    </xf>
    <xf numFmtId="0" fontId="12" fillId="0" borderId="0" xfId="3" applyFont="1" applyAlignment="1" applyProtection="1">
      <alignment horizontal="center"/>
    </xf>
    <xf numFmtId="0" fontId="11" fillId="0" borderId="4" xfId="3" applyFont="1" applyBorder="1" applyAlignment="1" applyProtection="1">
      <alignment horizontal="center"/>
    </xf>
    <xf numFmtId="10" fontId="13" fillId="0" borderId="4" xfId="3" applyNumberFormat="1" applyFont="1" applyFill="1" applyBorder="1" applyAlignment="1" applyProtection="1">
      <alignment horizontal="center"/>
    </xf>
    <xf numFmtId="0" fontId="15" fillId="0" borderId="0" xfId="3" applyFont="1" applyAlignment="1" applyProtection="1"/>
    <xf numFmtId="0" fontId="11" fillId="0" borderId="0" xfId="3" applyFont="1" applyProtection="1"/>
    <xf numFmtId="0" fontId="11" fillId="0" borderId="4" xfId="3" applyFont="1" applyFill="1" applyBorder="1" applyAlignment="1" applyProtection="1">
      <alignment horizontal="center" vertical="center" wrapText="1"/>
    </xf>
    <xf numFmtId="0" fontId="17" fillId="0" borderId="0" xfId="3" applyFont="1" applyAlignment="1" applyProtection="1">
      <alignment vertical="top" wrapText="1"/>
    </xf>
    <xf numFmtId="0" fontId="18" fillId="0" borderId="4" xfId="3" applyFont="1" applyBorder="1" applyAlignment="1" applyProtection="1">
      <alignment horizontal="center" vertical="center"/>
    </xf>
    <xf numFmtId="10" fontId="18" fillId="11" borderId="4" xfId="3" applyNumberFormat="1" applyFont="1" applyFill="1" applyBorder="1" applyAlignment="1" applyProtection="1">
      <alignment horizontal="center" vertical="center"/>
      <protection locked="0"/>
    </xf>
    <xf numFmtId="4" fontId="16" fillId="0" borderId="4" xfId="3" applyNumberFormat="1" applyFont="1" applyFill="1" applyBorder="1" applyAlignment="1" applyProtection="1">
      <alignment horizontal="center" vertical="center"/>
    </xf>
    <xf numFmtId="10" fontId="18" fillId="0" borderId="4" xfId="3" applyNumberFormat="1" applyFont="1" applyFill="1" applyBorder="1" applyAlignment="1" applyProtection="1">
      <alignment horizontal="center" vertical="center"/>
    </xf>
    <xf numFmtId="10" fontId="18" fillId="0" borderId="4" xfId="3" applyNumberFormat="1" applyFont="1" applyFill="1" applyBorder="1" applyAlignment="1" applyProtection="1">
      <alignment horizontal="center" vertical="center" wrapText="1"/>
    </xf>
    <xf numFmtId="0" fontId="18" fillId="0" borderId="4" xfId="3" applyFont="1" applyFill="1" applyBorder="1" applyAlignment="1" applyProtection="1">
      <alignment horizontal="center" vertical="center" wrapText="1"/>
    </xf>
    <xf numFmtId="4" fontId="16" fillId="0" borderId="4" xfId="3" applyNumberFormat="1" applyFont="1" applyFill="1" applyBorder="1" applyAlignment="1" applyProtection="1">
      <alignment horizontal="center" vertical="center" wrapText="1"/>
    </xf>
    <xf numFmtId="0" fontId="19" fillId="0" borderId="0" xfId="3" applyFont="1" applyAlignment="1" applyProtection="1">
      <alignment wrapText="1"/>
    </xf>
    <xf numFmtId="0" fontId="20" fillId="0" borderId="0" xfId="3" applyFont="1" applyFill="1" applyBorder="1" applyAlignment="1" applyProtection="1">
      <alignment horizontal="center" vertical="center" wrapText="1"/>
    </xf>
    <xf numFmtId="10" fontId="20" fillId="0" borderId="0" xfId="3" applyNumberFormat="1" applyFont="1" applyFill="1" applyBorder="1" applyAlignment="1" applyProtection="1">
      <alignment horizontal="center" vertical="center"/>
    </xf>
    <xf numFmtId="4" fontId="16" fillId="0" borderId="0" xfId="3" applyNumberFormat="1" applyFont="1" applyFill="1" applyBorder="1" applyAlignment="1" applyProtection="1">
      <alignment horizontal="center" vertical="center" wrapText="1"/>
    </xf>
    <xf numFmtId="0" fontId="10" fillId="0" borderId="0" xfId="3" applyFont="1" applyProtection="1">
      <protection locked="0"/>
    </xf>
    <xf numFmtId="0" fontId="22" fillId="0" borderId="4" xfId="3" applyFont="1" applyBorder="1" applyAlignment="1" applyProtection="1">
      <alignment horizontal="center" vertical="center"/>
    </xf>
    <xf numFmtId="0" fontId="10" fillId="0" borderId="0" xfId="3" applyFont="1" applyBorder="1" applyAlignment="1" applyProtection="1">
      <alignment horizontal="center" vertical="top"/>
    </xf>
    <xf numFmtId="0" fontId="26" fillId="0" borderId="0" xfId="3" applyFont="1" applyBorder="1" applyAlignment="1" applyProtection="1">
      <alignment horizontal="center" vertical="top"/>
    </xf>
    <xf numFmtId="169" fontId="10" fillId="0" borderId="0" xfId="3" applyNumberFormat="1" applyFont="1" applyAlignment="1" applyProtection="1"/>
    <xf numFmtId="0" fontId="11" fillId="0" borderId="1" xfId="3" applyFont="1" applyBorder="1" applyAlignment="1" applyProtection="1">
      <alignment horizontal="left"/>
    </xf>
    <xf numFmtId="0" fontId="10" fillId="0" borderId="1" xfId="3" applyFont="1" applyBorder="1" applyProtection="1"/>
    <xf numFmtId="0" fontId="18" fillId="0" borderId="0" xfId="3" applyFont="1" applyBorder="1" applyProtection="1"/>
    <xf numFmtId="0" fontId="10" fillId="0" borderId="0" xfId="3" applyFont="1" applyBorder="1" applyProtection="1"/>
    <xf numFmtId="0" fontId="11" fillId="0" borderId="0" xfId="4" applyFont="1" applyBorder="1" applyAlignment="1" applyProtection="1">
      <alignment horizontal="left" vertical="top"/>
    </xf>
    <xf numFmtId="0" fontId="18" fillId="0" borderId="0" xfId="3" applyFont="1" applyProtection="1"/>
    <xf numFmtId="0" fontId="18" fillId="0" borderId="0" xfId="3" applyFont="1" applyAlignment="1" applyProtection="1">
      <alignment vertical="top"/>
    </xf>
    <xf numFmtId="4" fontId="28" fillId="2" borderId="3" xfId="0" applyNumberFormat="1" applyFont="1" applyFill="1" applyBorder="1" applyAlignment="1">
      <alignment horizontal="center" vertical="center"/>
    </xf>
    <xf numFmtId="4" fontId="4" fillId="5" borderId="4" xfId="0" applyNumberFormat="1" applyFont="1" applyFill="1" applyBorder="1" applyAlignment="1">
      <alignment horizontal="center" vertical="center" wrapText="1"/>
    </xf>
    <xf numFmtId="4" fontId="4" fillId="0" borderId="4" xfId="0" applyNumberFormat="1" applyFont="1" applyBorder="1" applyAlignment="1">
      <alignment horizontal="center" vertical="center"/>
    </xf>
    <xf numFmtId="4" fontId="0" fillId="0" borderId="4" xfId="0" applyNumberFormat="1" applyBorder="1" applyAlignment="1">
      <alignment horizontal="center" vertical="center"/>
    </xf>
    <xf numFmtId="4" fontId="4" fillId="0" borderId="4"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0" borderId="0" xfId="0" applyNumberFormat="1" applyFont="1" applyAlignment="1">
      <alignment horizontal="center" vertical="center" wrapText="1"/>
    </xf>
    <xf numFmtId="4" fontId="2" fillId="0" borderId="4"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2" fillId="0" borderId="4" xfId="0" applyNumberFormat="1" applyFont="1" applyFill="1" applyBorder="1" applyAlignment="1">
      <alignment vertical="center" wrapText="1"/>
    </xf>
    <xf numFmtId="2" fontId="4" fillId="5" borderId="4" xfId="0" applyNumberFormat="1" applyFont="1" applyFill="1" applyBorder="1" applyAlignment="1">
      <alignment horizontal="center" vertical="center" wrapText="1"/>
    </xf>
    <xf numFmtId="2" fontId="2" fillId="0" borderId="4" xfId="0" applyNumberFormat="1" applyFont="1" applyBorder="1" applyAlignment="1">
      <alignment horizontal="center" vertical="center" wrapText="1"/>
    </xf>
    <xf numFmtId="0" fontId="11" fillId="0" borderId="0" xfId="0" applyFont="1" applyFill="1" applyBorder="1" applyAlignment="1">
      <alignment horizontal="center"/>
    </xf>
    <xf numFmtId="0" fontId="16" fillId="0" borderId="0" xfId="0" applyFont="1" applyFill="1" applyBorder="1" applyAlignment="1">
      <alignment horizontal="center"/>
    </xf>
    <xf numFmtId="4" fontId="29" fillId="0" borderId="4" xfId="0" applyNumberFormat="1" applyFont="1" applyBorder="1" applyAlignment="1">
      <alignment horizontal="center" vertical="center"/>
    </xf>
    <xf numFmtId="167" fontId="10" fillId="10" borderId="0" xfId="3" applyNumberFormat="1" applyFont="1" applyFill="1" applyBorder="1" applyAlignment="1" applyProtection="1">
      <alignment horizontal="left"/>
      <protection locked="0"/>
    </xf>
    <xf numFmtId="0" fontId="10" fillId="0" borderId="1" xfId="3" applyFont="1" applyBorder="1" applyAlignment="1" applyProtection="1">
      <alignment horizontal="center" vertical="center"/>
    </xf>
    <xf numFmtId="49" fontId="10" fillId="10" borderId="0" xfId="3" applyNumberFormat="1" applyFont="1" applyFill="1" applyBorder="1" applyAlignment="1" applyProtection="1">
      <alignment horizontal="left"/>
      <protection locked="0"/>
    </xf>
    <xf numFmtId="49" fontId="10" fillId="11" borderId="7" xfId="3" applyNumberFormat="1" applyFont="1" applyFill="1" applyBorder="1" applyAlignment="1" applyProtection="1">
      <alignment horizontal="left" vertical="top" wrapText="1"/>
      <protection locked="0"/>
    </xf>
    <xf numFmtId="49" fontId="10" fillId="11" borderId="8" xfId="3" applyNumberFormat="1" applyFont="1" applyFill="1" applyBorder="1" applyAlignment="1" applyProtection="1">
      <alignment horizontal="left" vertical="top" wrapText="1"/>
      <protection locked="0"/>
    </xf>
    <xf numFmtId="49" fontId="10" fillId="11" borderId="9" xfId="3" applyNumberFormat="1" applyFont="1" applyFill="1" applyBorder="1" applyAlignment="1" applyProtection="1">
      <alignment horizontal="left" vertical="top" wrapText="1"/>
      <protection locked="0"/>
    </xf>
    <xf numFmtId="167" fontId="10" fillId="10" borderId="3" xfId="3" applyNumberFormat="1" applyFont="1" applyFill="1" applyBorder="1" applyAlignment="1" applyProtection="1">
      <alignment horizontal="left"/>
      <protection locked="0"/>
    </xf>
    <xf numFmtId="168" fontId="10" fillId="10" borderId="3" xfId="3" applyNumberFormat="1" applyFont="1" applyFill="1" applyBorder="1" applyAlignment="1" applyProtection="1">
      <alignment horizontal="left"/>
      <protection locked="0"/>
    </xf>
    <xf numFmtId="0" fontId="11" fillId="0" borderId="0" xfId="3" applyFont="1" applyBorder="1" applyAlignment="1" applyProtection="1">
      <alignment horizontal="left" vertical="center"/>
    </xf>
    <xf numFmtId="0" fontId="16" fillId="0" borderId="0" xfId="3" applyFont="1" applyBorder="1" applyAlignment="1" applyProtection="1">
      <alignment horizontal="left" vertical="center"/>
    </xf>
    <xf numFmtId="0" fontId="27" fillId="0" borderId="4" xfId="3" applyFont="1" applyBorder="1" applyAlignment="1" applyProtection="1">
      <alignment horizontal="center" vertical="center" wrapText="1"/>
    </xf>
    <xf numFmtId="0" fontId="10" fillId="0" borderId="4" xfId="3" applyFont="1" applyBorder="1" applyAlignment="1" applyProtection="1">
      <alignment horizontal="left" vertical="center" wrapText="1"/>
    </xf>
    <xf numFmtId="0" fontId="20" fillId="0" borderId="0" xfId="3" applyFont="1" applyBorder="1" applyAlignment="1" applyProtection="1">
      <alignment horizontal="left" vertical="center" wrapText="1"/>
    </xf>
    <xf numFmtId="2" fontId="21" fillId="0" borderId="1" xfId="3" applyNumberFormat="1" applyFont="1" applyFill="1" applyBorder="1" applyAlignment="1" applyProtection="1">
      <alignment horizontal="center" vertical="center"/>
    </xf>
    <xf numFmtId="0" fontId="23" fillId="0" borderId="0" xfId="3" applyFont="1" applyAlignment="1" applyProtection="1">
      <alignment horizontal="left" vertical="center" indent="1"/>
    </xf>
    <xf numFmtId="0" fontId="10" fillId="0" borderId="0" xfId="3" applyFont="1" applyBorder="1" applyAlignment="1" applyProtection="1">
      <alignment horizontal="center" vertical="center"/>
    </xf>
    <xf numFmtId="0" fontId="24" fillId="0" borderId="0" xfId="3" applyFont="1" applyBorder="1" applyAlignment="1" applyProtection="1">
      <alignment horizontal="right" vertical="center"/>
    </xf>
    <xf numFmtId="0" fontId="25" fillId="0" borderId="0" xfId="3" applyFont="1" applyBorder="1" applyAlignment="1" applyProtection="1">
      <alignment horizontal="center"/>
    </xf>
    <xf numFmtId="0" fontId="24" fillId="0" borderId="0" xfId="3" quotePrefix="1" applyFont="1" applyBorder="1" applyAlignment="1" applyProtection="1">
      <alignment horizontal="left" vertical="center"/>
    </xf>
    <xf numFmtId="0" fontId="24" fillId="0" borderId="0" xfId="3" applyFont="1" applyBorder="1" applyAlignment="1" applyProtection="1">
      <alignment horizontal="left" vertical="center"/>
    </xf>
    <xf numFmtId="0" fontId="24" fillId="0" borderId="0" xfId="3" applyFont="1" applyBorder="1" applyAlignment="1" applyProtection="1">
      <alignment horizontal="center" vertical="top"/>
    </xf>
    <xf numFmtId="0" fontId="17" fillId="0" borderId="0" xfId="3" applyFont="1" applyAlignment="1" applyProtection="1">
      <alignment horizontal="center" vertical="top" wrapText="1"/>
    </xf>
    <xf numFmtId="0" fontId="10" fillId="0" borderId="4" xfId="3" applyFont="1" applyBorder="1" applyAlignment="1" applyProtection="1">
      <alignment horizontal="left" vertical="center"/>
    </xf>
    <xf numFmtId="0" fontId="14" fillId="0" borderId="4" xfId="3" applyFont="1" applyFill="1" applyBorder="1" applyAlignment="1" applyProtection="1">
      <alignment horizontal="left" wrapText="1"/>
    </xf>
    <xf numFmtId="10" fontId="14" fillId="11" borderId="4" xfId="3" applyNumberFormat="1" applyFont="1" applyFill="1" applyBorder="1" applyAlignment="1" applyProtection="1">
      <alignment horizontal="center"/>
      <protection locked="0"/>
    </xf>
    <xf numFmtId="0" fontId="14" fillId="0" borderId="4" xfId="3" applyFont="1" applyFill="1" applyBorder="1" applyAlignment="1" applyProtection="1">
      <alignment horizontal="left"/>
    </xf>
    <xf numFmtId="0" fontId="16" fillId="0" borderId="4" xfId="3" applyFont="1" applyBorder="1" applyAlignment="1" applyProtection="1">
      <alignment horizontal="center" vertical="center"/>
    </xf>
    <xf numFmtId="4" fontId="16" fillId="0" borderId="4" xfId="3" applyNumberFormat="1" applyFont="1" applyFill="1" applyBorder="1" applyAlignment="1" applyProtection="1">
      <alignment horizontal="center" vertical="center" wrapText="1"/>
    </xf>
    <xf numFmtId="0" fontId="16" fillId="0" borderId="4" xfId="3" applyFont="1" applyFill="1" applyBorder="1" applyAlignment="1" applyProtection="1">
      <alignment horizontal="center" vertical="center"/>
    </xf>
    <xf numFmtId="0" fontId="11" fillId="0" borderId="4" xfId="3" applyFont="1" applyFill="1" applyBorder="1" applyAlignment="1" applyProtection="1">
      <alignment horizontal="center" vertical="center"/>
    </xf>
    <xf numFmtId="0" fontId="11" fillId="0" borderId="16" xfId="4" applyFont="1" applyBorder="1" applyAlignment="1" applyProtection="1">
      <alignment horizontal="left" vertical="top"/>
    </xf>
    <xf numFmtId="0" fontId="11" fillId="0" borderId="0" xfId="4" applyFont="1" applyBorder="1" applyAlignment="1" applyProtection="1">
      <alignment horizontal="left" vertical="top"/>
    </xf>
    <xf numFmtId="0" fontId="11" fillId="0" borderId="10" xfId="4" applyFont="1" applyBorder="1" applyAlignment="1" applyProtection="1">
      <alignment horizontal="left" vertical="top"/>
    </xf>
    <xf numFmtId="0" fontId="14" fillId="10" borderId="6" xfId="5" applyNumberFormat="1" applyFont="1" applyFill="1" applyBorder="1" applyAlignment="1" applyProtection="1">
      <alignment horizontal="left" wrapText="1"/>
      <protection locked="0"/>
    </xf>
    <xf numFmtId="166" fontId="14" fillId="11" borderId="2" xfId="5" applyFont="1" applyFill="1" applyBorder="1" applyAlignment="1" applyProtection="1">
      <alignment horizontal="left"/>
      <protection locked="0"/>
    </xf>
    <xf numFmtId="166" fontId="14" fillId="11" borderId="3" xfId="5" applyFont="1" applyFill="1" applyBorder="1" applyAlignment="1" applyProtection="1">
      <alignment horizontal="left"/>
      <protection locked="0"/>
    </xf>
    <xf numFmtId="166" fontId="14" fillId="11" borderId="12" xfId="5" applyFont="1" applyFill="1" applyBorder="1" applyAlignment="1" applyProtection="1">
      <alignment horizontal="left"/>
      <protection locked="0"/>
    </xf>
    <xf numFmtId="0" fontId="10" fillId="10" borderId="2" xfId="3" applyFont="1" applyFill="1" applyBorder="1" applyAlignment="1" applyProtection="1">
      <alignment horizontal="center" vertical="top" wrapText="1"/>
      <protection locked="0"/>
    </xf>
    <xf numFmtId="0" fontId="10" fillId="10" borderId="12" xfId="3" applyFont="1" applyFill="1" applyBorder="1" applyAlignment="1" applyProtection="1">
      <alignment horizontal="center" vertical="top" wrapText="1"/>
      <protection locked="0"/>
    </xf>
    <xf numFmtId="0" fontId="10" fillId="0" borderId="16" xfId="3" applyFont="1" applyBorder="1" applyAlignment="1" applyProtection="1">
      <alignment horizontal="center"/>
    </xf>
    <xf numFmtId="0" fontId="10" fillId="0" borderId="10" xfId="3" applyFont="1" applyBorder="1" applyAlignment="1" applyProtection="1">
      <alignment horizontal="center"/>
    </xf>
    <xf numFmtId="0" fontId="11" fillId="0" borderId="2" xfId="3" applyFont="1" applyBorder="1" applyAlignment="1" applyProtection="1">
      <alignment horizontal="center"/>
    </xf>
    <xf numFmtId="0" fontId="11" fillId="0" borderId="12" xfId="3" applyFont="1" applyBorder="1" applyAlignment="1" applyProtection="1">
      <alignment horizontal="center"/>
    </xf>
    <xf numFmtId="0" fontId="10" fillId="10" borderId="2" xfId="3" applyFont="1" applyFill="1" applyBorder="1" applyAlignment="1" applyProtection="1">
      <alignment horizontal="left" vertical="top" wrapText="1"/>
      <protection locked="0"/>
    </xf>
    <xf numFmtId="0" fontId="10" fillId="10" borderId="12" xfId="3" applyFont="1" applyFill="1" applyBorder="1" applyAlignment="1" applyProtection="1">
      <alignment horizontal="left" vertical="top" wrapText="1"/>
      <protection locked="0"/>
    </xf>
    <xf numFmtId="49" fontId="10" fillId="10" borderId="2" xfId="3" applyNumberFormat="1" applyFont="1" applyFill="1" applyBorder="1" applyAlignment="1" applyProtection="1">
      <alignment horizontal="left" vertical="top" wrapText="1"/>
      <protection locked="0"/>
    </xf>
    <xf numFmtId="0" fontId="10" fillId="10" borderId="3" xfId="3" applyNumberFormat="1" applyFont="1" applyFill="1" applyBorder="1" applyAlignment="1" applyProtection="1">
      <alignment horizontal="left" vertical="top" wrapText="1"/>
      <protection locked="0"/>
    </xf>
    <xf numFmtId="0" fontId="10" fillId="10" borderId="12" xfId="3" applyNumberFormat="1" applyFont="1" applyFill="1" applyBorder="1" applyAlignment="1" applyProtection="1">
      <alignment horizontal="left" vertical="top" wrapText="1"/>
      <protection locked="0"/>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28" fillId="2" borderId="15"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8" fillId="2" borderId="2" xfId="0" applyFont="1" applyFill="1" applyBorder="1" applyAlignment="1">
      <alignment horizontal="left" vertical="center"/>
    </xf>
    <xf numFmtId="0" fontId="28" fillId="2" borderId="3" xfId="0" applyFont="1" applyFill="1" applyBorder="1" applyAlignment="1">
      <alignment horizontal="left" vertical="center"/>
    </xf>
    <xf numFmtId="0" fontId="4" fillId="9" borderId="7" xfId="0" applyFont="1" applyFill="1" applyBorder="1" applyAlignment="1">
      <alignment horizontal="center"/>
    </xf>
    <xf numFmtId="0" fontId="4" fillId="9" borderId="8" xfId="0" applyFont="1" applyFill="1" applyBorder="1" applyAlignment="1">
      <alignment horizontal="center"/>
    </xf>
    <xf numFmtId="0" fontId="4" fillId="9" borderId="9" xfId="0"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0" borderId="0" xfId="0" applyFont="1" applyFill="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4" xfId="0" applyFont="1" applyBorder="1" applyAlignment="1">
      <alignment horizont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4" xfId="0" applyBorder="1" applyAlignment="1">
      <alignment horizontal="center" wrapText="1"/>
    </xf>
    <xf numFmtId="0" fontId="2" fillId="2" borderId="1" xfId="0" applyFont="1" applyFill="1" applyBorder="1" applyAlignment="1">
      <alignment vertical="center" wrapText="1"/>
    </xf>
    <xf numFmtId="0" fontId="2" fillId="2" borderId="11" xfId="0" applyFont="1" applyFill="1" applyBorder="1" applyAlignment="1">
      <alignment vertical="center" wrapText="1"/>
    </xf>
    <xf numFmtId="0" fontId="2" fillId="2" borderId="0" xfId="0" applyFont="1" applyFill="1" applyBorder="1" applyAlignment="1">
      <alignment vertical="center" wrapText="1"/>
    </xf>
    <xf numFmtId="0" fontId="2" fillId="2" borderId="10" xfId="0" applyFont="1" applyFill="1" applyBorder="1" applyAlignment="1">
      <alignment vertical="center" wrapText="1"/>
    </xf>
    <xf numFmtId="0" fontId="2" fillId="2" borderId="3" xfId="0" applyFont="1" applyFill="1" applyBorder="1" applyAlignment="1">
      <alignment vertical="center" wrapText="1"/>
    </xf>
    <xf numFmtId="0" fontId="2" fillId="2" borderId="12" xfId="0" applyFont="1" applyFill="1" applyBorder="1" applyAlignment="1">
      <alignment vertical="center" wrapText="1"/>
    </xf>
    <xf numFmtId="0" fontId="28" fillId="2" borderId="16" xfId="0" applyFont="1" applyFill="1" applyBorder="1" applyAlignment="1">
      <alignment vertical="center" wrapText="1"/>
    </xf>
    <xf numFmtId="0" fontId="28" fillId="2" borderId="0" xfId="0" applyFont="1" applyFill="1" applyBorder="1" applyAlignment="1">
      <alignment vertical="center" wrapText="1"/>
    </xf>
  </cellXfs>
  <cellStyles count="6">
    <cellStyle name="Hiperlink" xfId="1" builtinId="8"/>
    <cellStyle name="Moeda_Composicao BDI v2.1" xfId="5"/>
    <cellStyle name="Normal" xfId="0" builtinId="0"/>
    <cellStyle name="Normal 2" xfId="3"/>
    <cellStyle name="Normal_FICHA DE VERIFICAÇÃO PRELIMINAR - Plano R" xfId="4"/>
    <cellStyle name="Porcentagem" xfId="2" builtinId="5"/>
  </cellStyles>
  <dxfs count="9">
    <dxf>
      <font>
        <color theme="0"/>
      </font>
      <fill>
        <patternFill>
          <bgColor theme="0"/>
        </patternFill>
      </fill>
      <border>
        <left/>
        <right/>
        <top/>
        <bottom/>
      </border>
    </dxf>
    <dxf>
      <font>
        <color theme="0"/>
      </font>
      <fill>
        <patternFill patternType="none">
          <bgColor indexed="65"/>
        </patternFill>
      </fill>
      <border>
        <left/>
        <right/>
        <top/>
        <bottom/>
      </border>
    </dxf>
    <dxf>
      <fill>
        <patternFill>
          <bgColor rgb="FFFFFF9E"/>
        </patternFill>
      </fill>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ill>
        <patternFill>
          <bgColor rgb="FFFFFF9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V$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220980</xdr:colOff>
          <xdr:row>28</xdr:row>
          <xdr:rowOff>15240</xdr:rowOff>
        </xdr:from>
        <xdr:to>
          <xdr:col>8</xdr:col>
          <xdr:colOff>464820</xdr:colOff>
          <xdr:row>28</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leroymerlin.com.br/sarrafo-de-madeira-pinus-natural-10x3x100cm-massol_90664994" TargetMode="External"/><Relationship Id="rId2" Type="http://schemas.openxmlformats.org/officeDocument/2006/relationships/hyperlink" Target="https://www.obramax.com.br/sarrafo-pinus-aparelhado-25x10cm-10m-89201525.html" TargetMode="External"/><Relationship Id="rId1" Type="http://schemas.openxmlformats.org/officeDocument/2006/relationships/hyperlink" Target="https://www.beijaflormadeiras.com.br/sarrado-pinus-aparelhado-10c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beijaflormadeiras.com.br/sarrado-pinus-aparelhado-10cm/" TargetMode="External"/><Relationship Id="rId7" Type="http://schemas.openxmlformats.org/officeDocument/2006/relationships/hyperlink" Target="https://www.leroymerlin.com.br/sarrafo-de-madeira-pinus-natural-10x3x100cm-massol_90664994" TargetMode="External"/><Relationship Id="rId2" Type="http://schemas.openxmlformats.org/officeDocument/2006/relationships/hyperlink" Target="https://www.redeconstruirvp.com.br/madeiras/552-perna-3x3-pinus-mt.html" TargetMode="External"/><Relationship Id="rId1" Type="http://schemas.openxmlformats.org/officeDocument/2006/relationships/hyperlink" Target="https://www.sodimac.com.br/dicico-br/product/716309/Quadrado-Eucalipto-Aplainado-3x3x250cm/716309" TargetMode="External"/><Relationship Id="rId6" Type="http://schemas.openxmlformats.org/officeDocument/2006/relationships/hyperlink" Target="https://www.obramax.com.br/sarrafo-pinus-aparelhado-25x10cm-10m-89201525.html" TargetMode="External"/><Relationship Id="rId5" Type="http://schemas.openxmlformats.org/officeDocument/2006/relationships/hyperlink" Target="https://www.beijaflormadeiras.com.br/sarrafo-de-pinus-aparelhado-7-cm/" TargetMode="External"/><Relationship Id="rId4" Type="http://schemas.openxmlformats.org/officeDocument/2006/relationships/hyperlink" Target="https://produto.mercadolivre.com.br/MLB-1835022014-sarrafo-de-pinus-aparelhado-7-cm-_J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WC59"/>
  <sheetViews>
    <sheetView showGridLines="0" topLeftCell="I37" zoomScaleNormal="100" zoomScaleSheetLayoutView="100" zoomScalePageLayoutView="70" workbookViewId="0">
      <selection activeCell="M50" sqref="M50"/>
    </sheetView>
  </sheetViews>
  <sheetFormatPr defaultColWidth="0" defaultRowHeight="12.75" customHeight="1" zeroHeight="1" x14ac:dyDescent="0.25"/>
  <cols>
    <col min="1" max="1" width="30.33203125" style="104" hidden="1" customWidth="1"/>
    <col min="2" max="3" width="9.109375" style="104" hidden="1" customWidth="1"/>
    <col min="4" max="4" width="23.5546875" style="104" hidden="1" customWidth="1"/>
    <col min="5" max="8" width="9.109375" style="104" hidden="1" customWidth="1"/>
    <col min="9" max="14" width="10.6640625" style="104" customWidth="1"/>
    <col min="15" max="15" width="12.88671875" style="104" customWidth="1"/>
    <col min="16" max="18" width="10.6640625" style="104" customWidth="1"/>
    <col min="19" max="19" width="3.6640625" style="104" customWidth="1"/>
    <col min="20" max="20" width="29.5546875" style="104" customWidth="1"/>
    <col min="21" max="21" width="13.6640625" style="104" customWidth="1"/>
    <col min="22" max="256" width="9.109375" style="104" hidden="1"/>
    <col min="257" max="264" width="9.109375" style="104" hidden="1" customWidth="1"/>
    <col min="265" max="270" width="10.6640625" style="104" customWidth="1"/>
    <col min="271" max="271" width="12.88671875" style="104" customWidth="1"/>
    <col min="272" max="274" width="10.6640625" style="104" customWidth="1"/>
    <col min="275" max="275" width="3.6640625" style="104" customWidth="1"/>
    <col min="276" max="276" width="29.5546875" style="104" customWidth="1"/>
    <col min="277" max="277" width="13.6640625" style="104" customWidth="1"/>
    <col min="278" max="512" width="9.109375" style="104" hidden="1"/>
    <col min="513" max="520" width="9.109375" style="104" hidden="1" customWidth="1"/>
    <col min="521" max="526" width="10.6640625" style="104" customWidth="1"/>
    <col min="527" max="527" width="12.88671875" style="104" customWidth="1"/>
    <col min="528" max="530" width="10.6640625" style="104" customWidth="1"/>
    <col min="531" max="531" width="3.6640625" style="104" customWidth="1"/>
    <col min="532" max="532" width="29.5546875" style="104" customWidth="1"/>
    <col min="533" max="533" width="13.6640625" style="104" customWidth="1"/>
    <col min="534" max="768" width="9.109375" style="104" hidden="1"/>
    <col min="769" max="776" width="9.109375" style="104" hidden="1" customWidth="1"/>
    <col min="777" max="782" width="10.6640625" style="104" customWidth="1"/>
    <col min="783" max="783" width="12.88671875" style="104" customWidth="1"/>
    <col min="784" max="786" width="10.6640625" style="104" customWidth="1"/>
    <col min="787" max="787" width="3.6640625" style="104" customWidth="1"/>
    <col min="788" max="788" width="29.5546875" style="104" customWidth="1"/>
    <col min="789" max="789" width="13.6640625" style="104" customWidth="1"/>
    <col min="790" max="1024" width="9.109375" style="104" hidden="1"/>
    <col min="1025" max="1032" width="9.109375" style="104" hidden="1" customWidth="1"/>
    <col min="1033" max="1038" width="10.6640625" style="104" customWidth="1"/>
    <col min="1039" max="1039" width="12.88671875" style="104" customWidth="1"/>
    <col min="1040" max="1042" width="10.6640625" style="104" customWidth="1"/>
    <col min="1043" max="1043" width="3.6640625" style="104" customWidth="1"/>
    <col min="1044" max="1044" width="29.5546875" style="104" customWidth="1"/>
    <col min="1045" max="1045" width="13.6640625" style="104" customWidth="1"/>
    <col min="1046" max="1280" width="9.109375" style="104" hidden="1"/>
    <col min="1281" max="1288" width="9.109375" style="104" hidden="1" customWidth="1"/>
    <col min="1289" max="1294" width="10.6640625" style="104" customWidth="1"/>
    <col min="1295" max="1295" width="12.88671875" style="104" customWidth="1"/>
    <col min="1296" max="1298" width="10.6640625" style="104" customWidth="1"/>
    <col min="1299" max="1299" width="3.6640625" style="104" customWidth="1"/>
    <col min="1300" max="1300" width="29.5546875" style="104" customWidth="1"/>
    <col min="1301" max="1301" width="13.6640625" style="104" customWidth="1"/>
    <col min="1302" max="1536" width="9.109375" style="104" hidden="1"/>
    <col min="1537" max="1544" width="9.109375" style="104" hidden="1" customWidth="1"/>
    <col min="1545" max="1550" width="10.6640625" style="104" customWidth="1"/>
    <col min="1551" max="1551" width="12.88671875" style="104" customWidth="1"/>
    <col min="1552" max="1554" width="10.6640625" style="104" customWidth="1"/>
    <col min="1555" max="1555" width="3.6640625" style="104" customWidth="1"/>
    <col min="1556" max="1556" width="29.5546875" style="104" customWidth="1"/>
    <col min="1557" max="1557" width="13.6640625" style="104" customWidth="1"/>
    <col min="1558" max="1792" width="9.109375" style="104" hidden="1"/>
    <col min="1793" max="1800" width="9.109375" style="104" hidden="1" customWidth="1"/>
    <col min="1801" max="1806" width="10.6640625" style="104" customWidth="1"/>
    <col min="1807" max="1807" width="12.88671875" style="104" customWidth="1"/>
    <col min="1808" max="1810" width="10.6640625" style="104" customWidth="1"/>
    <col min="1811" max="1811" width="3.6640625" style="104" customWidth="1"/>
    <col min="1812" max="1812" width="29.5546875" style="104" customWidth="1"/>
    <col min="1813" max="1813" width="13.6640625" style="104" customWidth="1"/>
    <col min="1814" max="2048" width="9.109375" style="104" hidden="1"/>
    <col min="2049" max="2056" width="9.109375" style="104" hidden="1" customWidth="1"/>
    <col min="2057" max="2062" width="10.6640625" style="104" customWidth="1"/>
    <col min="2063" max="2063" width="12.88671875" style="104" customWidth="1"/>
    <col min="2064" max="2066" width="10.6640625" style="104" customWidth="1"/>
    <col min="2067" max="2067" width="3.6640625" style="104" customWidth="1"/>
    <col min="2068" max="2068" width="29.5546875" style="104" customWidth="1"/>
    <col min="2069" max="2069" width="13.6640625" style="104" customWidth="1"/>
    <col min="2070" max="2304" width="9.109375" style="104" hidden="1"/>
    <col min="2305" max="2312" width="9.109375" style="104" hidden="1" customWidth="1"/>
    <col min="2313" max="2318" width="10.6640625" style="104" customWidth="1"/>
    <col min="2319" max="2319" width="12.88671875" style="104" customWidth="1"/>
    <col min="2320" max="2322" width="10.6640625" style="104" customWidth="1"/>
    <col min="2323" max="2323" width="3.6640625" style="104" customWidth="1"/>
    <col min="2324" max="2324" width="29.5546875" style="104" customWidth="1"/>
    <col min="2325" max="2325" width="13.6640625" style="104" customWidth="1"/>
    <col min="2326" max="2560" width="9.109375" style="104" hidden="1"/>
    <col min="2561" max="2568" width="9.109375" style="104" hidden="1" customWidth="1"/>
    <col min="2569" max="2574" width="10.6640625" style="104" customWidth="1"/>
    <col min="2575" max="2575" width="12.88671875" style="104" customWidth="1"/>
    <col min="2576" max="2578" width="10.6640625" style="104" customWidth="1"/>
    <col min="2579" max="2579" width="3.6640625" style="104" customWidth="1"/>
    <col min="2580" max="2580" width="29.5546875" style="104" customWidth="1"/>
    <col min="2581" max="2581" width="13.6640625" style="104" customWidth="1"/>
    <col min="2582" max="2816" width="9.109375" style="104" hidden="1"/>
    <col min="2817" max="2824" width="9.109375" style="104" hidden="1" customWidth="1"/>
    <col min="2825" max="2830" width="10.6640625" style="104" customWidth="1"/>
    <col min="2831" max="2831" width="12.88671875" style="104" customWidth="1"/>
    <col min="2832" max="2834" width="10.6640625" style="104" customWidth="1"/>
    <col min="2835" max="2835" width="3.6640625" style="104" customWidth="1"/>
    <col min="2836" max="2836" width="29.5546875" style="104" customWidth="1"/>
    <col min="2837" max="2837" width="13.6640625" style="104" customWidth="1"/>
    <col min="2838" max="3072" width="9.109375" style="104" hidden="1"/>
    <col min="3073" max="3080" width="9.109375" style="104" hidden="1" customWidth="1"/>
    <col min="3081" max="3086" width="10.6640625" style="104" customWidth="1"/>
    <col min="3087" max="3087" width="12.88671875" style="104" customWidth="1"/>
    <col min="3088" max="3090" width="10.6640625" style="104" customWidth="1"/>
    <col min="3091" max="3091" width="3.6640625" style="104" customWidth="1"/>
    <col min="3092" max="3092" width="29.5546875" style="104" customWidth="1"/>
    <col min="3093" max="3093" width="13.6640625" style="104" customWidth="1"/>
    <col min="3094" max="3328" width="9.109375" style="104" hidden="1"/>
    <col min="3329" max="3336" width="9.109375" style="104" hidden="1" customWidth="1"/>
    <col min="3337" max="3342" width="10.6640625" style="104" customWidth="1"/>
    <col min="3343" max="3343" width="12.88671875" style="104" customWidth="1"/>
    <col min="3344" max="3346" width="10.6640625" style="104" customWidth="1"/>
    <col min="3347" max="3347" width="3.6640625" style="104" customWidth="1"/>
    <col min="3348" max="3348" width="29.5546875" style="104" customWidth="1"/>
    <col min="3349" max="3349" width="13.6640625" style="104" customWidth="1"/>
    <col min="3350" max="3584" width="9.109375" style="104" hidden="1"/>
    <col min="3585" max="3592" width="9.109375" style="104" hidden="1" customWidth="1"/>
    <col min="3593" max="3598" width="10.6640625" style="104" customWidth="1"/>
    <col min="3599" max="3599" width="12.88671875" style="104" customWidth="1"/>
    <col min="3600" max="3602" width="10.6640625" style="104" customWidth="1"/>
    <col min="3603" max="3603" width="3.6640625" style="104" customWidth="1"/>
    <col min="3604" max="3604" width="29.5546875" style="104" customWidth="1"/>
    <col min="3605" max="3605" width="13.6640625" style="104" customWidth="1"/>
    <col min="3606" max="3840" width="9.109375" style="104" hidden="1"/>
    <col min="3841" max="3848" width="9.109375" style="104" hidden="1" customWidth="1"/>
    <col min="3849" max="3854" width="10.6640625" style="104" customWidth="1"/>
    <col min="3855" max="3855" width="12.88671875" style="104" customWidth="1"/>
    <col min="3856" max="3858" width="10.6640625" style="104" customWidth="1"/>
    <col min="3859" max="3859" width="3.6640625" style="104" customWidth="1"/>
    <col min="3860" max="3860" width="29.5546875" style="104" customWidth="1"/>
    <col min="3861" max="3861" width="13.6640625" style="104" customWidth="1"/>
    <col min="3862" max="4096" width="9.109375" style="104" hidden="1"/>
    <col min="4097" max="4104" width="9.109375" style="104" hidden="1" customWidth="1"/>
    <col min="4105" max="4110" width="10.6640625" style="104" customWidth="1"/>
    <col min="4111" max="4111" width="12.88671875" style="104" customWidth="1"/>
    <col min="4112" max="4114" width="10.6640625" style="104" customWidth="1"/>
    <col min="4115" max="4115" width="3.6640625" style="104" customWidth="1"/>
    <col min="4116" max="4116" width="29.5546875" style="104" customWidth="1"/>
    <col min="4117" max="4117" width="13.6640625" style="104" customWidth="1"/>
    <col min="4118" max="4352" width="9.109375" style="104" hidden="1"/>
    <col min="4353" max="4360" width="9.109375" style="104" hidden="1" customWidth="1"/>
    <col min="4361" max="4366" width="10.6640625" style="104" customWidth="1"/>
    <col min="4367" max="4367" width="12.88671875" style="104" customWidth="1"/>
    <col min="4368" max="4370" width="10.6640625" style="104" customWidth="1"/>
    <col min="4371" max="4371" width="3.6640625" style="104" customWidth="1"/>
    <col min="4372" max="4372" width="29.5546875" style="104" customWidth="1"/>
    <col min="4373" max="4373" width="13.6640625" style="104" customWidth="1"/>
    <col min="4374" max="4608" width="9.109375" style="104" hidden="1"/>
    <col min="4609" max="4616" width="9.109375" style="104" hidden="1" customWidth="1"/>
    <col min="4617" max="4622" width="10.6640625" style="104" customWidth="1"/>
    <col min="4623" max="4623" width="12.88671875" style="104" customWidth="1"/>
    <col min="4624" max="4626" width="10.6640625" style="104" customWidth="1"/>
    <col min="4627" max="4627" width="3.6640625" style="104" customWidth="1"/>
    <col min="4628" max="4628" width="29.5546875" style="104" customWidth="1"/>
    <col min="4629" max="4629" width="13.6640625" style="104" customWidth="1"/>
    <col min="4630" max="4864" width="9.109375" style="104" hidden="1"/>
    <col min="4865" max="4872" width="9.109375" style="104" hidden="1" customWidth="1"/>
    <col min="4873" max="4878" width="10.6640625" style="104" customWidth="1"/>
    <col min="4879" max="4879" width="12.88671875" style="104" customWidth="1"/>
    <col min="4880" max="4882" width="10.6640625" style="104" customWidth="1"/>
    <col min="4883" max="4883" width="3.6640625" style="104" customWidth="1"/>
    <col min="4884" max="4884" width="29.5546875" style="104" customWidth="1"/>
    <col min="4885" max="4885" width="13.6640625" style="104" customWidth="1"/>
    <col min="4886" max="5120" width="9.109375" style="104" hidden="1"/>
    <col min="5121" max="5128" width="9.109375" style="104" hidden="1" customWidth="1"/>
    <col min="5129" max="5134" width="10.6640625" style="104" customWidth="1"/>
    <col min="5135" max="5135" width="12.88671875" style="104" customWidth="1"/>
    <col min="5136" max="5138" width="10.6640625" style="104" customWidth="1"/>
    <col min="5139" max="5139" width="3.6640625" style="104" customWidth="1"/>
    <col min="5140" max="5140" width="29.5546875" style="104" customWidth="1"/>
    <col min="5141" max="5141" width="13.6640625" style="104" customWidth="1"/>
    <col min="5142" max="5376" width="9.109375" style="104" hidden="1"/>
    <col min="5377" max="5384" width="9.109375" style="104" hidden="1" customWidth="1"/>
    <col min="5385" max="5390" width="10.6640625" style="104" customWidth="1"/>
    <col min="5391" max="5391" width="12.88671875" style="104" customWidth="1"/>
    <col min="5392" max="5394" width="10.6640625" style="104" customWidth="1"/>
    <col min="5395" max="5395" width="3.6640625" style="104" customWidth="1"/>
    <col min="5396" max="5396" width="29.5546875" style="104" customWidth="1"/>
    <col min="5397" max="5397" width="13.6640625" style="104" customWidth="1"/>
    <col min="5398" max="5632" width="9.109375" style="104" hidden="1"/>
    <col min="5633" max="5640" width="9.109375" style="104" hidden="1" customWidth="1"/>
    <col min="5641" max="5646" width="10.6640625" style="104" customWidth="1"/>
    <col min="5647" max="5647" width="12.88671875" style="104" customWidth="1"/>
    <col min="5648" max="5650" width="10.6640625" style="104" customWidth="1"/>
    <col min="5651" max="5651" width="3.6640625" style="104" customWidth="1"/>
    <col min="5652" max="5652" width="29.5546875" style="104" customWidth="1"/>
    <col min="5653" max="5653" width="13.6640625" style="104" customWidth="1"/>
    <col min="5654" max="5888" width="9.109375" style="104" hidden="1"/>
    <col min="5889" max="5896" width="9.109375" style="104" hidden="1" customWidth="1"/>
    <col min="5897" max="5902" width="10.6640625" style="104" customWidth="1"/>
    <col min="5903" max="5903" width="12.88671875" style="104" customWidth="1"/>
    <col min="5904" max="5906" width="10.6640625" style="104" customWidth="1"/>
    <col min="5907" max="5907" width="3.6640625" style="104" customWidth="1"/>
    <col min="5908" max="5908" width="29.5546875" style="104" customWidth="1"/>
    <col min="5909" max="5909" width="13.6640625" style="104" customWidth="1"/>
    <col min="5910" max="6144" width="9.109375" style="104" hidden="1"/>
    <col min="6145" max="6152" width="9.109375" style="104" hidden="1" customWidth="1"/>
    <col min="6153" max="6158" width="10.6640625" style="104" customWidth="1"/>
    <col min="6159" max="6159" width="12.88671875" style="104" customWidth="1"/>
    <col min="6160" max="6162" width="10.6640625" style="104" customWidth="1"/>
    <col min="6163" max="6163" width="3.6640625" style="104" customWidth="1"/>
    <col min="6164" max="6164" width="29.5546875" style="104" customWidth="1"/>
    <col min="6165" max="6165" width="13.6640625" style="104" customWidth="1"/>
    <col min="6166" max="6400" width="9.109375" style="104" hidden="1"/>
    <col min="6401" max="6408" width="9.109375" style="104" hidden="1" customWidth="1"/>
    <col min="6409" max="6414" width="10.6640625" style="104" customWidth="1"/>
    <col min="6415" max="6415" width="12.88671875" style="104" customWidth="1"/>
    <col min="6416" max="6418" width="10.6640625" style="104" customWidth="1"/>
    <col min="6419" max="6419" width="3.6640625" style="104" customWidth="1"/>
    <col min="6420" max="6420" width="29.5546875" style="104" customWidth="1"/>
    <col min="6421" max="6421" width="13.6640625" style="104" customWidth="1"/>
    <col min="6422" max="6656" width="9.109375" style="104" hidden="1"/>
    <col min="6657" max="6664" width="9.109375" style="104" hidden="1" customWidth="1"/>
    <col min="6665" max="6670" width="10.6640625" style="104" customWidth="1"/>
    <col min="6671" max="6671" width="12.88671875" style="104" customWidth="1"/>
    <col min="6672" max="6674" width="10.6640625" style="104" customWidth="1"/>
    <col min="6675" max="6675" width="3.6640625" style="104" customWidth="1"/>
    <col min="6676" max="6676" width="29.5546875" style="104" customWidth="1"/>
    <col min="6677" max="6677" width="13.6640625" style="104" customWidth="1"/>
    <col min="6678" max="6912" width="9.109375" style="104" hidden="1"/>
    <col min="6913" max="6920" width="9.109375" style="104" hidden="1" customWidth="1"/>
    <col min="6921" max="6926" width="10.6640625" style="104" customWidth="1"/>
    <col min="6927" max="6927" width="12.88671875" style="104" customWidth="1"/>
    <col min="6928" max="6930" width="10.6640625" style="104" customWidth="1"/>
    <col min="6931" max="6931" width="3.6640625" style="104" customWidth="1"/>
    <col min="6932" max="6932" width="29.5546875" style="104" customWidth="1"/>
    <col min="6933" max="6933" width="13.6640625" style="104" customWidth="1"/>
    <col min="6934" max="7168" width="9.109375" style="104" hidden="1"/>
    <col min="7169" max="7176" width="9.109375" style="104" hidden="1" customWidth="1"/>
    <col min="7177" max="7182" width="10.6640625" style="104" customWidth="1"/>
    <col min="7183" max="7183" width="12.88671875" style="104" customWidth="1"/>
    <col min="7184" max="7186" width="10.6640625" style="104" customWidth="1"/>
    <col min="7187" max="7187" width="3.6640625" style="104" customWidth="1"/>
    <col min="7188" max="7188" width="29.5546875" style="104" customWidth="1"/>
    <col min="7189" max="7189" width="13.6640625" style="104" customWidth="1"/>
    <col min="7190" max="7424" width="9.109375" style="104" hidden="1"/>
    <col min="7425" max="7432" width="9.109375" style="104" hidden="1" customWidth="1"/>
    <col min="7433" max="7438" width="10.6640625" style="104" customWidth="1"/>
    <col min="7439" max="7439" width="12.88671875" style="104" customWidth="1"/>
    <col min="7440" max="7442" width="10.6640625" style="104" customWidth="1"/>
    <col min="7443" max="7443" width="3.6640625" style="104" customWidth="1"/>
    <col min="7444" max="7444" width="29.5546875" style="104" customWidth="1"/>
    <col min="7445" max="7445" width="13.6640625" style="104" customWidth="1"/>
    <col min="7446" max="7680" width="9.109375" style="104" hidden="1"/>
    <col min="7681" max="7688" width="9.109375" style="104" hidden="1" customWidth="1"/>
    <col min="7689" max="7694" width="10.6640625" style="104" customWidth="1"/>
    <col min="7695" max="7695" width="12.88671875" style="104" customWidth="1"/>
    <col min="7696" max="7698" width="10.6640625" style="104" customWidth="1"/>
    <col min="7699" max="7699" width="3.6640625" style="104" customWidth="1"/>
    <col min="7700" max="7700" width="29.5546875" style="104" customWidth="1"/>
    <col min="7701" max="7701" width="13.6640625" style="104" customWidth="1"/>
    <col min="7702" max="7936" width="9.109375" style="104" hidden="1"/>
    <col min="7937" max="7944" width="9.109375" style="104" hidden="1" customWidth="1"/>
    <col min="7945" max="7950" width="10.6640625" style="104" customWidth="1"/>
    <col min="7951" max="7951" width="12.88671875" style="104" customWidth="1"/>
    <col min="7952" max="7954" width="10.6640625" style="104" customWidth="1"/>
    <col min="7955" max="7955" width="3.6640625" style="104" customWidth="1"/>
    <col min="7956" max="7956" width="29.5546875" style="104" customWidth="1"/>
    <col min="7957" max="7957" width="13.6640625" style="104" customWidth="1"/>
    <col min="7958" max="8192" width="9.109375" style="104" hidden="1"/>
    <col min="8193" max="8200" width="9.109375" style="104" hidden="1" customWidth="1"/>
    <col min="8201" max="8206" width="10.6640625" style="104" customWidth="1"/>
    <col min="8207" max="8207" width="12.88671875" style="104" customWidth="1"/>
    <col min="8208" max="8210" width="10.6640625" style="104" customWidth="1"/>
    <col min="8211" max="8211" width="3.6640625" style="104" customWidth="1"/>
    <col min="8212" max="8212" width="29.5546875" style="104" customWidth="1"/>
    <col min="8213" max="8213" width="13.6640625" style="104" customWidth="1"/>
    <col min="8214" max="8448" width="9.109375" style="104" hidden="1"/>
    <col min="8449" max="8456" width="9.109375" style="104" hidden="1" customWidth="1"/>
    <col min="8457" max="8462" width="10.6640625" style="104" customWidth="1"/>
    <col min="8463" max="8463" width="12.88671875" style="104" customWidth="1"/>
    <col min="8464" max="8466" width="10.6640625" style="104" customWidth="1"/>
    <col min="8467" max="8467" width="3.6640625" style="104" customWidth="1"/>
    <col min="8468" max="8468" width="29.5546875" style="104" customWidth="1"/>
    <col min="8469" max="8469" width="13.6640625" style="104" customWidth="1"/>
    <col min="8470" max="8704" width="9.109375" style="104" hidden="1"/>
    <col min="8705" max="8712" width="9.109375" style="104" hidden="1" customWidth="1"/>
    <col min="8713" max="8718" width="10.6640625" style="104" customWidth="1"/>
    <col min="8719" max="8719" width="12.88671875" style="104" customWidth="1"/>
    <col min="8720" max="8722" width="10.6640625" style="104" customWidth="1"/>
    <col min="8723" max="8723" width="3.6640625" style="104" customWidth="1"/>
    <col min="8724" max="8724" width="29.5546875" style="104" customWidth="1"/>
    <col min="8725" max="8725" width="13.6640625" style="104" customWidth="1"/>
    <col min="8726" max="8960" width="9.109375" style="104" hidden="1"/>
    <col min="8961" max="8968" width="9.109375" style="104" hidden="1" customWidth="1"/>
    <col min="8969" max="8974" width="10.6640625" style="104" customWidth="1"/>
    <col min="8975" max="8975" width="12.88671875" style="104" customWidth="1"/>
    <col min="8976" max="8978" width="10.6640625" style="104" customWidth="1"/>
    <col min="8979" max="8979" width="3.6640625" style="104" customWidth="1"/>
    <col min="8980" max="8980" width="29.5546875" style="104" customWidth="1"/>
    <col min="8981" max="8981" width="13.6640625" style="104" customWidth="1"/>
    <col min="8982" max="9216" width="9.109375" style="104" hidden="1"/>
    <col min="9217" max="9224" width="9.109375" style="104" hidden="1" customWidth="1"/>
    <col min="9225" max="9230" width="10.6640625" style="104" customWidth="1"/>
    <col min="9231" max="9231" width="12.88671875" style="104" customWidth="1"/>
    <col min="9232" max="9234" width="10.6640625" style="104" customWidth="1"/>
    <col min="9235" max="9235" width="3.6640625" style="104" customWidth="1"/>
    <col min="9236" max="9236" width="29.5546875" style="104" customWidth="1"/>
    <col min="9237" max="9237" width="13.6640625" style="104" customWidth="1"/>
    <col min="9238" max="9472" width="9.109375" style="104" hidden="1"/>
    <col min="9473" max="9480" width="9.109375" style="104" hidden="1" customWidth="1"/>
    <col min="9481" max="9486" width="10.6640625" style="104" customWidth="1"/>
    <col min="9487" max="9487" width="12.88671875" style="104" customWidth="1"/>
    <col min="9488" max="9490" width="10.6640625" style="104" customWidth="1"/>
    <col min="9491" max="9491" width="3.6640625" style="104" customWidth="1"/>
    <col min="9492" max="9492" width="29.5546875" style="104" customWidth="1"/>
    <col min="9493" max="9493" width="13.6640625" style="104" customWidth="1"/>
    <col min="9494" max="9728" width="9.109375" style="104" hidden="1"/>
    <col min="9729" max="9736" width="9.109375" style="104" hidden="1" customWidth="1"/>
    <col min="9737" max="9742" width="10.6640625" style="104" customWidth="1"/>
    <col min="9743" max="9743" width="12.88671875" style="104" customWidth="1"/>
    <col min="9744" max="9746" width="10.6640625" style="104" customWidth="1"/>
    <col min="9747" max="9747" width="3.6640625" style="104" customWidth="1"/>
    <col min="9748" max="9748" width="29.5546875" style="104" customWidth="1"/>
    <col min="9749" max="9749" width="13.6640625" style="104" customWidth="1"/>
    <col min="9750" max="9984" width="9.109375" style="104" hidden="1"/>
    <col min="9985" max="9992" width="9.109375" style="104" hidden="1" customWidth="1"/>
    <col min="9993" max="9998" width="10.6640625" style="104" customWidth="1"/>
    <col min="9999" max="9999" width="12.88671875" style="104" customWidth="1"/>
    <col min="10000" max="10002" width="10.6640625" style="104" customWidth="1"/>
    <col min="10003" max="10003" width="3.6640625" style="104" customWidth="1"/>
    <col min="10004" max="10004" width="29.5546875" style="104" customWidth="1"/>
    <col min="10005" max="10005" width="13.6640625" style="104" customWidth="1"/>
    <col min="10006" max="10240" width="9.109375" style="104" hidden="1"/>
    <col min="10241" max="10248" width="9.109375" style="104" hidden="1" customWidth="1"/>
    <col min="10249" max="10254" width="10.6640625" style="104" customWidth="1"/>
    <col min="10255" max="10255" width="12.88671875" style="104" customWidth="1"/>
    <col min="10256" max="10258" width="10.6640625" style="104" customWidth="1"/>
    <col min="10259" max="10259" width="3.6640625" style="104" customWidth="1"/>
    <col min="10260" max="10260" width="29.5546875" style="104" customWidth="1"/>
    <col min="10261" max="10261" width="13.6640625" style="104" customWidth="1"/>
    <col min="10262" max="10496" width="9.109375" style="104" hidden="1"/>
    <col min="10497" max="10504" width="9.109375" style="104" hidden="1" customWidth="1"/>
    <col min="10505" max="10510" width="10.6640625" style="104" customWidth="1"/>
    <col min="10511" max="10511" width="12.88671875" style="104" customWidth="1"/>
    <col min="10512" max="10514" width="10.6640625" style="104" customWidth="1"/>
    <col min="10515" max="10515" width="3.6640625" style="104" customWidth="1"/>
    <col min="10516" max="10516" width="29.5546875" style="104" customWidth="1"/>
    <col min="10517" max="10517" width="13.6640625" style="104" customWidth="1"/>
    <col min="10518" max="10752" width="9.109375" style="104" hidden="1"/>
    <col min="10753" max="10760" width="9.109375" style="104" hidden="1" customWidth="1"/>
    <col min="10761" max="10766" width="10.6640625" style="104" customWidth="1"/>
    <col min="10767" max="10767" width="12.88671875" style="104" customWidth="1"/>
    <col min="10768" max="10770" width="10.6640625" style="104" customWidth="1"/>
    <col min="10771" max="10771" width="3.6640625" style="104" customWidth="1"/>
    <col min="10772" max="10772" width="29.5546875" style="104" customWidth="1"/>
    <col min="10773" max="10773" width="13.6640625" style="104" customWidth="1"/>
    <col min="10774" max="11008" width="9.109375" style="104" hidden="1"/>
    <col min="11009" max="11016" width="9.109375" style="104" hidden="1" customWidth="1"/>
    <col min="11017" max="11022" width="10.6640625" style="104" customWidth="1"/>
    <col min="11023" max="11023" width="12.88671875" style="104" customWidth="1"/>
    <col min="11024" max="11026" width="10.6640625" style="104" customWidth="1"/>
    <col min="11027" max="11027" width="3.6640625" style="104" customWidth="1"/>
    <col min="11028" max="11028" width="29.5546875" style="104" customWidth="1"/>
    <col min="11029" max="11029" width="13.6640625" style="104" customWidth="1"/>
    <col min="11030" max="11264" width="9.109375" style="104" hidden="1"/>
    <col min="11265" max="11272" width="9.109375" style="104" hidden="1" customWidth="1"/>
    <col min="11273" max="11278" width="10.6640625" style="104" customWidth="1"/>
    <col min="11279" max="11279" width="12.88671875" style="104" customWidth="1"/>
    <col min="11280" max="11282" width="10.6640625" style="104" customWidth="1"/>
    <col min="11283" max="11283" width="3.6640625" style="104" customWidth="1"/>
    <col min="11284" max="11284" width="29.5546875" style="104" customWidth="1"/>
    <col min="11285" max="11285" width="13.6640625" style="104" customWidth="1"/>
    <col min="11286" max="11520" width="9.109375" style="104" hidden="1"/>
    <col min="11521" max="11528" width="9.109375" style="104" hidden="1" customWidth="1"/>
    <col min="11529" max="11534" width="10.6640625" style="104" customWidth="1"/>
    <col min="11535" max="11535" width="12.88671875" style="104" customWidth="1"/>
    <col min="11536" max="11538" width="10.6640625" style="104" customWidth="1"/>
    <col min="11539" max="11539" width="3.6640625" style="104" customWidth="1"/>
    <col min="11540" max="11540" width="29.5546875" style="104" customWidth="1"/>
    <col min="11541" max="11541" width="13.6640625" style="104" customWidth="1"/>
    <col min="11542" max="11776" width="9.109375" style="104" hidden="1"/>
    <col min="11777" max="11784" width="9.109375" style="104" hidden="1" customWidth="1"/>
    <col min="11785" max="11790" width="10.6640625" style="104" customWidth="1"/>
    <col min="11791" max="11791" width="12.88671875" style="104" customWidth="1"/>
    <col min="11792" max="11794" width="10.6640625" style="104" customWidth="1"/>
    <col min="11795" max="11795" width="3.6640625" style="104" customWidth="1"/>
    <col min="11796" max="11796" width="29.5546875" style="104" customWidth="1"/>
    <col min="11797" max="11797" width="13.6640625" style="104" customWidth="1"/>
    <col min="11798" max="12032" width="9.109375" style="104" hidden="1"/>
    <col min="12033" max="12040" width="9.109375" style="104" hidden="1" customWidth="1"/>
    <col min="12041" max="12046" width="10.6640625" style="104" customWidth="1"/>
    <col min="12047" max="12047" width="12.88671875" style="104" customWidth="1"/>
    <col min="12048" max="12050" width="10.6640625" style="104" customWidth="1"/>
    <col min="12051" max="12051" width="3.6640625" style="104" customWidth="1"/>
    <col min="12052" max="12052" width="29.5546875" style="104" customWidth="1"/>
    <col min="12053" max="12053" width="13.6640625" style="104" customWidth="1"/>
    <col min="12054" max="12288" width="9.109375" style="104" hidden="1"/>
    <col min="12289" max="12296" width="9.109375" style="104" hidden="1" customWidth="1"/>
    <col min="12297" max="12302" width="10.6640625" style="104" customWidth="1"/>
    <col min="12303" max="12303" width="12.88671875" style="104" customWidth="1"/>
    <col min="12304" max="12306" width="10.6640625" style="104" customWidth="1"/>
    <col min="12307" max="12307" width="3.6640625" style="104" customWidth="1"/>
    <col min="12308" max="12308" width="29.5546875" style="104" customWidth="1"/>
    <col min="12309" max="12309" width="13.6640625" style="104" customWidth="1"/>
    <col min="12310" max="12544" width="9.109375" style="104" hidden="1"/>
    <col min="12545" max="12552" width="9.109375" style="104" hidden="1" customWidth="1"/>
    <col min="12553" max="12558" width="10.6640625" style="104" customWidth="1"/>
    <col min="12559" max="12559" width="12.88671875" style="104" customWidth="1"/>
    <col min="12560" max="12562" width="10.6640625" style="104" customWidth="1"/>
    <col min="12563" max="12563" width="3.6640625" style="104" customWidth="1"/>
    <col min="12564" max="12564" width="29.5546875" style="104" customWidth="1"/>
    <col min="12565" max="12565" width="13.6640625" style="104" customWidth="1"/>
    <col min="12566" max="12800" width="9.109375" style="104" hidden="1"/>
    <col min="12801" max="12808" width="9.109375" style="104" hidden="1" customWidth="1"/>
    <col min="12809" max="12814" width="10.6640625" style="104" customWidth="1"/>
    <col min="12815" max="12815" width="12.88671875" style="104" customWidth="1"/>
    <col min="12816" max="12818" width="10.6640625" style="104" customWidth="1"/>
    <col min="12819" max="12819" width="3.6640625" style="104" customWidth="1"/>
    <col min="12820" max="12820" width="29.5546875" style="104" customWidth="1"/>
    <col min="12821" max="12821" width="13.6640625" style="104" customWidth="1"/>
    <col min="12822" max="13056" width="9.109375" style="104" hidden="1"/>
    <col min="13057" max="13064" width="9.109375" style="104" hidden="1" customWidth="1"/>
    <col min="13065" max="13070" width="10.6640625" style="104" customWidth="1"/>
    <col min="13071" max="13071" width="12.88671875" style="104" customWidth="1"/>
    <col min="13072" max="13074" width="10.6640625" style="104" customWidth="1"/>
    <col min="13075" max="13075" width="3.6640625" style="104" customWidth="1"/>
    <col min="13076" max="13076" width="29.5546875" style="104" customWidth="1"/>
    <col min="13077" max="13077" width="13.6640625" style="104" customWidth="1"/>
    <col min="13078" max="13312" width="9.109375" style="104" hidden="1"/>
    <col min="13313" max="13320" width="9.109375" style="104" hidden="1" customWidth="1"/>
    <col min="13321" max="13326" width="10.6640625" style="104" customWidth="1"/>
    <col min="13327" max="13327" width="12.88671875" style="104" customWidth="1"/>
    <col min="13328" max="13330" width="10.6640625" style="104" customWidth="1"/>
    <col min="13331" max="13331" width="3.6640625" style="104" customWidth="1"/>
    <col min="13332" max="13332" width="29.5546875" style="104" customWidth="1"/>
    <col min="13333" max="13333" width="13.6640625" style="104" customWidth="1"/>
    <col min="13334" max="13568" width="9.109375" style="104" hidden="1"/>
    <col min="13569" max="13576" width="9.109375" style="104" hidden="1" customWidth="1"/>
    <col min="13577" max="13582" width="10.6640625" style="104" customWidth="1"/>
    <col min="13583" max="13583" width="12.88671875" style="104" customWidth="1"/>
    <col min="13584" max="13586" width="10.6640625" style="104" customWidth="1"/>
    <col min="13587" max="13587" width="3.6640625" style="104" customWidth="1"/>
    <col min="13588" max="13588" width="29.5546875" style="104" customWidth="1"/>
    <col min="13589" max="13589" width="13.6640625" style="104" customWidth="1"/>
    <col min="13590" max="13824" width="9.109375" style="104" hidden="1"/>
    <col min="13825" max="13832" width="9.109375" style="104" hidden="1" customWidth="1"/>
    <col min="13833" max="13838" width="10.6640625" style="104" customWidth="1"/>
    <col min="13839" max="13839" width="12.88671875" style="104" customWidth="1"/>
    <col min="13840" max="13842" width="10.6640625" style="104" customWidth="1"/>
    <col min="13843" max="13843" width="3.6640625" style="104" customWidth="1"/>
    <col min="13844" max="13844" width="29.5546875" style="104" customWidth="1"/>
    <col min="13845" max="13845" width="13.6640625" style="104" customWidth="1"/>
    <col min="13846" max="14080" width="9.109375" style="104" hidden="1"/>
    <col min="14081" max="14088" width="9.109375" style="104" hidden="1" customWidth="1"/>
    <col min="14089" max="14094" width="10.6640625" style="104" customWidth="1"/>
    <col min="14095" max="14095" width="12.88671875" style="104" customWidth="1"/>
    <col min="14096" max="14098" width="10.6640625" style="104" customWidth="1"/>
    <col min="14099" max="14099" width="3.6640625" style="104" customWidth="1"/>
    <col min="14100" max="14100" width="29.5546875" style="104" customWidth="1"/>
    <col min="14101" max="14101" width="13.6640625" style="104" customWidth="1"/>
    <col min="14102" max="14336" width="9.109375" style="104" hidden="1"/>
    <col min="14337" max="14344" width="9.109375" style="104" hidden="1" customWidth="1"/>
    <col min="14345" max="14350" width="10.6640625" style="104" customWidth="1"/>
    <col min="14351" max="14351" width="12.88671875" style="104" customWidth="1"/>
    <col min="14352" max="14354" width="10.6640625" style="104" customWidth="1"/>
    <col min="14355" max="14355" width="3.6640625" style="104" customWidth="1"/>
    <col min="14356" max="14356" width="29.5546875" style="104" customWidth="1"/>
    <col min="14357" max="14357" width="13.6640625" style="104" customWidth="1"/>
    <col min="14358" max="14592" width="9.109375" style="104" hidden="1"/>
    <col min="14593" max="14600" width="9.109375" style="104" hidden="1" customWidth="1"/>
    <col min="14601" max="14606" width="10.6640625" style="104" customWidth="1"/>
    <col min="14607" max="14607" width="12.88671875" style="104" customWidth="1"/>
    <col min="14608" max="14610" width="10.6640625" style="104" customWidth="1"/>
    <col min="14611" max="14611" width="3.6640625" style="104" customWidth="1"/>
    <col min="14612" max="14612" width="29.5546875" style="104" customWidth="1"/>
    <col min="14613" max="14613" width="13.6640625" style="104" customWidth="1"/>
    <col min="14614" max="14848" width="9.109375" style="104" hidden="1"/>
    <col min="14849" max="14856" width="9.109375" style="104" hidden="1" customWidth="1"/>
    <col min="14857" max="14862" width="10.6640625" style="104" customWidth="1"/>
    <col min="14863" max="14863" width="12.88671875" style="104" customWidth="1"/>
    <col min="14864" max="14866" width="10.6640625" style="104" customWidth="1"/>
    <col min="14867" max="14867" width="3.6640625" style="104" customWidth="1"/>
    <col min="14868" max="14868" width="29.5546875" style="104" customWidth="1"/>
    <col min="14869" max="14869" width="13.6640625" style="104" customWidth="1"/>
    <col min="14870" max="15104" width="9.109375" style="104" hidden="1"/>
    <col min="15105" max="15112" width="9.109375" style="104" hidden="1" customWidth="1"/>
    <col min="15113" max="15118" width="10.6640625" style="104" customWidth="1"/>
    <col min="15119" max="15119" width="12.88671875" style="104" customWidth="1"/>
    <col min="15120" max="15122" width="10.6640625" style="104" customWidth="1"/>
    <col min="15123" max="15123" width="3.6640625" style="104" customWidth="1"/>
    <col min="15124" max="15124" width="29.5546875" style="104" customWidth="1"/>
    <col min="15125" max="15125" width="13.6640625" style="104" customWidth="1"/>
    <col min="15126" max="15360" width="9.109375" style="104" hidden="1"/>
    <col min="15361" max="15368" width="9.109375" style="104" hidden="1" customWidth="1"/>
    <col min="15369" max="15374" width="10.6640625" style="104" customWidth="1"/>
    <col min="15375" max="15375" width="12.88671875" style="104" customWidth="1"/>
    <col min="15376" max="15378" width="10.6640625" style="104" customWidth="1"/>
    <col min="15379" max="15379" width="3.6640625" style="104" customWidth="1"/>
    <col min="15380" max="15380" width="29.5546875" style="104" customWidth="1"/>
    <col min="15381" max="15381" width="13.6640625" style="104" customWidth="1"/>
    <col min="15382" max="15616" width="9.109375" style="104" hidden="1"/>
    <col min="15617" max="15624" width="9.109375" style="104" hidden="1" customWidth="1"/>
    <col min="15625" max="15630" width="10.6640625" style="104" customWidth="1"/>
    <col min="15631" max="15631" width="12.88671875" style="104" customWidth="1"/>
    <col min="15632" max="15634" width="10.6640625" style="104" customWidth="1"/>
    <col min="15635" max="15635" width="3.6640625" style="104" customWidth="1"/>
    <col min="15636" max="15636" width="29.5546875" style="104" customWidth="1"/>
    <col min="15637" max="15637" width="13.6640625" style="104" customWidth="1"/>
    <col min="15638" max="15872" width="9.109375" style="104" hidden="1"/>
    <col min="15873" max="15880" width="9.109375" style="104" hidden="1" customWidth="1"/>
    <col min="15881" max="15886" width="10.6640625" style="104" customWidth="1"/>
    <col min="15887" max="15887" width="12.88671875" style="104" customWidth="1"/>
    <col min="15888" max="15890" width="10.6640625" style="104" customWidth="1"/>
    <col min="15891" max="15891" width="3.6640625" style="104" customWidth="1"/>
    <col min="15892" max="15892" width="29.5546875" style="104" customWidth="1"/>
    <col min="15893" max="15893" width="13.6640625" style="104" customWidth="1"/>
    <col min="15894" max="16128" width="9.109375" style="104" hidden="1"/>
    <col min="16129" max="16136" width="9.109375" style="104" hidden="1" customWidth="1"/>
    <col min="16137" max="16142" width="10.6640625" style="104" customWidth="1"/>
    <col min="16143" max="16143" width="12.88671875" style="104" customWidth="1"/>
    <col min="16144" max="16146" width="10.6640625" style="104" customWidth="1"/>
    <col min="16147" max="16147" width="3.6640625" style="104" customWidth="1"/>
    <col min="16148" max="16148" width="29.5546875" style="104" customWidth="1"/>
    <col min="16149" max="16149" width="13.6640625" style="104" customWidth="1"/>
    <col min="16150" max="16384" width="9.109375" style="104" hidden="1"/>
  </cols>
  <sheetData>
    <row r="1" spans="1:29" ht="15" customHeight="1" x14ac:dyDescent="0.3">
      <c r="E1" s="105" t="s">
        <v>274</v>
      </c>
      <c r="F1" s="105" t="s">
        <v>275</v>
      </c>
      <c r="G1" s="105" t="s">
        <v>276</v>
      </c>
      <c r="N1" s="106" t="str">
        <f>"Quadro de Composição do BDI"</f>
        <v>Quadro de Composição do BDI</v>
      </c>
      <c r="Q1" s="190" t="s">
        <v>277</v>
      </c>
      <c r="R1" s="191"/>
    </row>
    <row r="2" spans="1:29" ht="13.2" x14ac:dyDescent="0.25">
      <c r="A2" s="104" t="s">
        <v>278</v>
      </c>
      <c r="B2" s="107" t="s">
        <v>279</v>
      </c>
      <c r="C2" s="104" t="str">
        <f t="shared" ref="C2:C49" si="0">CONCATENATE(A2,"-",B2)</f>
        <v>Construção e Reforma de Edifícios-AC</v>
      </c>
      <c r="E2" s="108">
        <v>0.03</v>
      </c>
      <c r="F2" s="108">
        <v>0.04</v>
      </c>
      <c r="G2" s="108">
        <v>5.5E-2</v>
      </c>
      <c r="Q2" s="192" t="s">
        <v>280</v>
      </c>
      <c r="R2" s="193"/>
    </row>
    <row r="3" spans="1:29" ht="13.2" x14ac:dyDescent="0.25">
      <c r="A3" s="104" t="str">
        <f>A2</f>
        <v>Construção e Reforma de Edifícios</v>
      </c>
      <c r="B3" s="107" t="s">
        <v>281</v>
      </c>
      <c r="C3" s="104" t="str">
        <f t="shared" si="0"/>
        <v>Construção e Reforma de Edifícios-SG</v>
      </c>
      <c r="E3" s="108">
        <v>8.0000000000000002E-3</v>
      </c>
      <c r="F3" s="108">
        <v>8.0000000000000002E-3</v>
      </c>
      <c r="G3" s="108">
        <v>0.01</v>
      </c>
    </row>
    <row r="4" spans="1:29" ht="13.2" x14ac:dyDescent="0.25">
      <c r="A4" s="104" t="str">
        <f>A3</f>
        <v>Construção e Reforma de Edifícios</v>
      </c>
      <c r="B4" s="107" t="s">
        <v>282</v>
      </c>
      <c r="C4" s="104" t="str">
        <f t="shared" si="0"/>
        <v>Construção e Reforma de Edifícios-R</v>
      </c>
      <c r="E4" s="108">
        <v>9.7000000000000003E-3</v>
      </c>
      <c r="F4" s="108">
        <v>1.2699999999999999E-2</v>
      </c>
      <c r="G4" s="108">
        <v>1.2699999999999999E-2</v>
      </c>
      <c r="I4" s="181" t="s">
        <v>283</v>
      </c>
      <c r="J4" s="183"/>
      <c r="K4" s="181" t="s">
        <v>284</v>
      </c>
      <c r="L4" s="182"/>
      <c r="M4" s="182"/>
      <c r="N4" s="182"/>
      <c r="O4" s="182"/>
      <c r="P4" s="182"/>
      <c r="Q4" s="182"/>
      <c r="R4" s="183"/>
    </row>
    <row r="5" spans="1:29" ht="12.75" customHeight="1" x14ac:dyDescent="0.35">
      <c r="A5" s="104" t="str">
        <f>A4</f>
        <v>Construção e Reforma de Edifícios</v>
      </c>
      <c r="B5" s="107" t="s">
        <v>285</v>
      </c>
      <c r="C5" s="104" t="str">
        <f t="shared" si="0"/>
        <v>Construção e Reforma de Edifícios-DF</v>
      </c>
      <c r="E5" s="108">
        <v>5.8999999999999999E-3</v>
      </c>
      <c r="F5" s="108">
        <v>1.23E-2</v>
      </c>
      <c r="G5" s="108">
        <v>1.3899999999999999E-2</v>
      </c>
      <c r="I5" s="194"/>
      <c r="J5" s="195"/>
      <c r="K5" s="196" t="s">
        <v>337</v>
      </c>
      <c r="L5" s="197"/>
      <c r="M5" s="197"/>
      <c r="N5" s="197"/>
      <c r="O5" s="197"/>
      <c r="P5" s="197"/>
      <c r="Q5" s="197"/>
      <c r="R5" s="198"/>
      <c r="S5" s="109"/>
    </row>
    <row r="6" spans="1:29" ht="6" customHeight="1" x14ac:dyDescent="0.25">
      <c r="A6" s="104" t="str">
        <f>A5</f>
        <v>Construção e Reforma de Edifícios</v>
      </c>
      <c r="B6" s="107" t="s">
        <v>286</v>
      </c>
      <c r="C6" s="104" t="str">
        <f t="shared" si="0"/>
        <v>Construção e Reforma de Edifícios-L</v>
      </c>
      <c r="E6" s="108">
        <v>6.1600000000000002E-2</v>
      </c>
      <c r="F6" s="108">
        <v>7.400000000000001E-2</v>
      </c>
      <c r="G6" s="108">
        <v>8.9600000000000013E-2</v>
      </c>
      <c r="I6" s="110"/>
      <c r="J6" s="110"/>
      <c r="K6" s="110"/>
      <c r="L6" s="110"/>
      <c r="M6" s="110"/>
      <c r="N6" s="110"/>
      <c r="O6" s="110"/>
      <c r="P6" s="110"/>
      <c r="Q6" s="110"/>
      <c r="R6" s="110"/>
    </row>
    <row r="7" spans="1:29" ht="13.5" customHeight="1" x14ac:dyDescent="0.25">
      <c r="A7" s="104" t="str">
        <f>A6</f>
        <v>Construção e Reforma de Edifícios</v>
      </c>
      <c r="B7" s="111" t="s">
        <v>287</v>
      </c>
      <c r="C7" s="104" t="str">
        <f t="shared" si="0"/>
        <v>Construção e Reforma de Edifícios-BDI PAD</v>
      </c>
      <c r="E7" s="108">
        <v>0.2034</v>
      </c>
      <c r="F7" s="108">
        <v>0.22120000000000001</v>
      </c>
      <c r="G7" s="108">
        <v>0.25</v>
      </c>
      <c r="I7" s="181" t="s">
        <v>288</v>
      </c>
      <c r="J7" s="182"/>
      <c r="K7" s="182"/>
      <c r="L7" s="182"/>
      <c r="M7" s="182"/>
      <c r="N7" s="182"/>
      <c r="O7" s="182"/>
      <c r="P7" s="182"/>
      <c r="Q7" s="182"/>
      <c r="R7" s="183"/>
    </row>
    <row r="8" spans="1:29" ht="24.75" customHeight="1" x14ac:dyDescent="0.25">
      <c r="A8" s="104" t="s">
        <v>289</v>
      </c>
      <c r="B8" s="107" t="s">
        <v>279</v>
      </c>
      <c r="C8" s="104" t="str">
        <f t="shared" si="0"/>
        <v>Construção de Praças Urbanas, Rodovias, Ferrovias e recapeamento e pavimentação de vias urbanas-AC</v>
      </c>
      <c r="E8" s="108">
        <v>3.7999999999999999E-2</v>
      </c>
      <c r="F8" s="108">
        <v>4.0099999999999997E-2</v>
      </c>
      <c r="G8" s="108">
        <v>4.6699999999999998E-2</v>
      </c>
      <c r="I8" s="184" t="s">
        <v>350</v>
      </c>
      <c r="J8" s="184"/>
      <c r="K8" s="184"/>
      <c r="L8" s="184"/>
      <c r="M8" s="184"/>
      <c r="N8" s="184"/>
      <c r="O8" s="184"/>
      <c r="P8" s="184"/>
      <c r="Q8" s="184"/>
      <c r="R8" s="184"/>
    </row>
    <row r="9" spans="1:29" ht="6" customHeight="1" x14ac:dyDescent="0.25">
      <c r="A9" s="104" t="s">
        <v>289</v>
      </c>
      <c r="B9" s="107" t="s">
        <v>281</v>
      </c>
      <c r="C9" s="104" t="str">
        <f t="shared" si="0"/>
        <v>Construção de Praças Urbanas, Rodovias, Ferrovias e recapeamento e pavimentação de vias urbanas-SG</v>
      </c>
      <c r="E9" s="108">
        <v>3.2000000000000002E-3</v>
      </c>
      <c r="F9" s="108">
        <v>4.0000000000000001E-3</v>
      </c>
      <c r="G9" s="108">
        <v>7.4000000000000003E-3</v>
      </c>
      <c r="I9" s="110"/>
      <c r="J9" s="110"/>
      <c r="K9" s="110"/>
      <c r="L9" s="110"/>
      <c r="M9" s="110"/>
      <c r="N9" s="110"/>
      <c r="O9" s="110"/>
      <c r="P9" s="110"/>
      <c r="Q9" s="110"/>
      <c r="R9" s="110"/>
    </row>
    <row r="10" spans="1:29" ht="13.2" x14ac:dyDescent="0.25">
      <c r="A10" s="104" t="s">
        <v>289</v>
      </c>
      <c r="B10" s="107" t="s">
        <v>282</v>
      </c>
      <c r="C10" s="104" t="str">
        <f t="shared" si="0"/>
        <v>Construção de Praças Urbanas, Rodovias, Ferrovias e recapeamento e pavimentação de vias urbanas-R</v>
      </c>
      <c r="E10" s="108">
        <v>5.0000000000000001E-3</v>
      </c>
      <c r="F10" s="108">
        <v>5.6000000000000008E-3</v>
      </c>
      <c r="G10" s="108">
        <v>9.7000000000000003E-3</v>
      </c>
      <c r="I10" s="181" t="s">
        <v>290</v>
      </c>
      <c r="J10" s="182"/>
      <c r="K10" s="182"/>
      <c r="L10" s="182"/>
      <c r="M10" s="182"/>
      <c r="N10" s="182"/>
      <c r="O10" s="182"/>
      <c r="P10" s="182"/>
      <c r="Q10" s="181" t="s">
        <v>291</v>
      </c>
      <c r="R10" s="183"/>
    </row>
    <row r="11" spans="1:29" ht="13.2" x14ac:dyDescent="0.25">
      <c r="A11" s="104" t="s">
        <v>289</v>
      </c>
      <c r="B11" s="107" t="s">
        <v>285</v>
      </c>
      <c r="C11" s="104" t="str">
        <f t="shared" si="0"/>
        <v>Construção de Praças Urbanas, Rodovias, Ferrovias e recapeamento e pavimentação de vias urbanas-DF</v>
      </c>
      <c r="E11" s="108">
        <v>1.0200000000000001E-2</v>
      </c>
      <c r="F11" s="108">
        <v>1.11E-2</v>
      </c>
      <c r="G11" s="108">
        <v>1.21E-2</v>
      </c>
      <c r="I11" s="185" t="s">
        <v>289</v>
      </c>
      <c r="J11" s="186"/>
      <c r="K11" s="186"/>
      <c r="L11" s="186"/>
      <c r="M11" s="186"/>
      <c r="N11" s="186"/>
      <c r="O11" s="186"/>
      <c r="P11" s="187"/>
      <c r="Q11" s="188" t="s">
        <v>292</v>
      </c>
      <c r="R11" s="189"/>
    </row>
    <row r="12" spans="1:29" ht="13.2" x14ac:dyDescent="0.25">
      <c r="A12" s="104" t="s">
        <v>289</v>
      </c>
      <c r="B12" s="107" t="s">
        <v>286</v>
      </c>
      <c r="C12" s="104" t="str">
        <f t="shared" si="0"/>
        <v>Construção de Praças Urbanas, Rodovias, Ferrovias e recapeamento e pavimentação de vias urbanas-L</v>
      </c>
      <c r="E12" s="108">
        <v>6.6400000000000001E-2</v>
      </c>
      <c r="F12" s="108">
        <v>7.2999999999999995E-2</v>
      </c>
      <c r="G12" s="108">
        <v>8.6899999999999991E-2</v>
      </c>
    </row>
    <row r="13" spans="1:29" ht="15" customHeight="1" x14ac:dyDescent="0.25">
      <c r="A13" s="104" t="s">
        <v>289</v>
      </c>
      <c r="B13" s="111" t="s">
        <v>287</v>
      </c>
      <c r="C13" s="104" t="str">
        <f t="shared" si="0"/>
        <v>Construção de Praças Urbanas, Rodovias, Ferrovias e recapeamento e pavimentação de vias urbanas-BDI PAD</v>
      </c>
      <c r="E13" s="108">
        <v>0.19600000000000001</v>
      </c>
      <c r="F13" s="108">
        <v>0.2097</v>
      </c>
      <c r="G13" s="108">
        <v>0.24230000000000002</v>
      </c>
      <c r="I13" s="174" t="s">
        <v>293</v>
      </c>
      <c r="J13" s="174"/>
      <c r="K13" s="174"/>
      <c r="L13" s="174"/>
      <c r="M13" s="174"/>
      <c r="N13" s="174"/>
      <c r="O13" s="174"/>
      <c r="P13" s="174"/>
      <c r="Q13" s="175">
        <v>1</v>
      </c>
      <c r="R13" s="175"/>
    </row>
    <row r="14" spans="1:29" ht="15" customHeight="1" x14ac:dyDescent="0.25">
      <c r="A14" s="104" t="s">
        <v>294</v>
      </c>
      <c r="B14" s="107" t="s">
        <v>279</v>
      </c>
      <c r="C14" s="104" t="str">
        <f t="shared" si="0"/>
        <v>Construção de Redes de Abastecimento de Água, Coleta de Esgoto-AC</v>
      </c>
      <c r="E14" s="108">
        <v>3.4300000000000004E-2</v>
      </c>
      <c r="F14" s="108">
        <v>4.9299999999999997E-2</v>
      </c>
      <c r="G14" s="108">
        <v>6.7099999999999993E-2</v>
      </c>
      <c r="I14" s="176" t="s">
        <v>295</v>
      </c>
      <c r="J14" s="176"/>
      <c r="K14" s="176"/>
      <c r="L14" s="176"/>
      <c r="M14" s="176"/>
      <c r="N14" s="176"/>
      <c r="O14" s="176"/>
      <c r="P14" s="176"/>
      <c r="Q14" s="175">
        <v>0.02</v>
      </c>
      <c r="R14" s="175"/>
    </row>
    <row r="15" spans="1:29" ht="13.2" x14ac:dyDescent="0.25">
      <c r="A15" s="104" t="str">
        <f>A14</f>
        <v>Construção de Redes de Abastecimento de Água, Coleta de Esgoto</v>
      </c>
      <c r="B15" s="107" t="s">
        <v>281</v>
      </c>
      <c r="C15" s="104" t="str">
        <f t="shared" si="0"/>
        <v>Construção de Redes de Abastecimento de Água, Coleta de Esgoto-SG</v>
      </c>
      <c r="E15" s="108">
        <v>2.8000000000000004E-3</v>
      </c>
      <c r="F15" s="108">
        <v>4.8999999999999998E-3</v>
      </c>
      <c r="G15" s="108">
        <v>7.4999999999999997E-3</v>
      </c>
    </row>
    <row r="16" spans="1:29" ht="12.75" customHeight="1" x14ac:dyDescent="0.25">
      <c r="B16" s="107"/>
      <c r="E16" s="108"/>
      <c r="F16" s="108"/>
      <c r="G16" s="108"/>
      <c r="I16" s="177" t="s">
        <v>296</v>
      </c>
      <c r="J16" s="177"/>
      <c r="K16" s="177"/>
      <c r="L16" s="177"/>
      <c r="M16" s="177" t="s">
        <v>297</v>
      </c>
      <c r="N16" s="178" t="s">
        <v>298</v>
      </c>
      <c r="O16" s="178" t="s">
        <v>299</v>
      </c>
      <c r="P16" s="179" t="s">
        <v>300</v>
      </c>
      <c r="Q16" s="179" t="s">
        <v>301</v>
      </c>
      <c r="R16" s="180" t="s">
        <v>302</v>
      </c>
      <c r="T16" s="172" t="str">
        <f>IF(V27,"Para BDI fora do intervalo estatístico, deve ser apresentado Relatório Técnico Circunstanciado justificando a adoção do percentual de cada parcela do BDI.","")</f>
        <v/>
      </c>
      <c r="U16" s="172"/>
      <c r="V16" s="112"/>
      <c r="W16" s="112"/>
      <c r="X16" s="112"/>
      <c r="Y16" s="112"/>
      <c r="Z16" s="112"/>
      <c r="AA16" s="112"/>
      <c r="AB16" s="112"/>
      <c r="AC16" s="112"/>
    </row>
    <row r="17" spans="1:31" ht="15.75" customHeight="1" x14ac:dyDescent="0.25">
      <c r="A17" s="104" t="str">
        <f>A15</f>
        <v>Construção de Redes de Abastecimento de Água, Coleta de Esgoto</v>
      </c>
      <c r="B17" s="107" t="s">
        <v>282</v>
      </c>
      <c r="C17" s="104" t="str">
        <f t="shared" si="0"/>
        <v>Construção de Redes de Abastecimento de Água, Coleta de Esgoto-R</v>
      </c>
      <c r="E17" s="108">
        <v>0.01</v>
      </c>
      <c r="F17" s="108">
        <v>1.3899999999999999E-2</v>
      </c>
      <c r="G17" s="108">
        <v>1.7399999999999999E-2</v>
      </c>
      <c r="I17" s="177"/>
      <c r="J17" s="177"/>
      <c r="K17" s="177"/>
      <c r="L17" s="177"/>
      <c r="M17" s="177"/>
      <c r="N17" s="178"/>
      <c r="O17" s="178"/>
      <c r="P17" s="179"/>
      <c r="Q17" s="179"/>
      <c r="R17" s="180"/>
      <c r="T17" s="172"/>
      <c r="U17" s="172"/>
      <c r="V17" s="112"/>
      <c r="W17" s="112"/>
      <c r="X17" s="112"/>
      <c r="Y17" s="112"/>
      <c r="Z17" s="112"/>
      <c r="AA17" s="112"/>
      <c r="AB17" s="112"/>
      <c r="AC17" s="112"/>
    </row>
    <row r="18" spans="1:31" ht="26.25" customHeight="1" x14ac:dyDescent="0.25">
      <c r="A18" s="104" t="str">
        <f>A17</f>
        <v>Construção de Redes de Abastecimento de Água, Coleta de Esgoto</v>
      </c>
      <c r="B18" s="107" t="s">
        <v>285</v>
      </c>
      <c r="C18" s="104" t="str">
        <f t="shared" si="0"/>
        <v>Construção de Redes de Abastecimento de Água, Coleta de Esgoto-DF</v>
      </c>
      <c r="E18" s="108">
        <v>9.3999999999999986E-3</v>
      </c>
      <c r="F18" s="108">
        <v>9.8999999999999991E-3</v>
      </c>
      <c r="G18" s="108">
        <v>1.1699999999999999E-2</v>
      </c>
      <c r="I18" s="162" t="str">
        <f>IF($I$11=$A$58,"Encargos Sociais incidentes sobre a mão de obra","Administração Central")</f>
        <v>Administração Central</v>
      </c>
      <c r="J18" s="162"/>
      <c r="K18" s="162"/>
      <c r="L18" s="162"/>
      <c r="M18" s="113" t="str">
        <f>IF($I$11=$A$58,"K1","AC")</f>
        <v>AC</v>
      </c>
      <c r="N18" s="114">
        <v>3.7999999999999999E-2</v>
      </c>
      <c r="O18" s="115" t="s">
        <v>18</v>
      </c>
      <c r="P18" s="116">
        <f>VLOOKUP(CONCATENATE(I$11,"-",M18),$C$2:$G$49,3,FALSE)</f>
        <v>3.7999999999999999E-2</v>
      </c>
      <c r="Q18" s="116">
        <f>VLOOKUP(CONCATENATE(I$11,"-",M18),$C$2:$G$49,4,FALSE)</f>
        <v>4.0099999999999997E-2</v>
      </c>
      <c r="R18" s="116">
        <f>VLOOKUP(CONCATENATE(I$11,"-",M18),$C$2:$G$49,5,FALSE)</f>
        <v>4.6699999999999998E-2</v>
      </c>
      <c r="T18" s="172"/>
      <c r="U18" s="172"/>
      <c r="V18" s="112"/>
      <c r="W18" s="112"/>
      <c r="X18" s="112"/>
      <c r="Y18" s="112"/>
      <c r="Z18" s="112"/>
      <c r="AA18" s="112"/>
      <c r="AB18" s="112"/>
      <c r="AC18" s="112"/>
    </row>
    <row r="19" spans="1:31" ht="26.25" customHeight="1" x14ac:dyDescent="0.25">
      <c r="A19" s="104" t="str">
        <f>A18</f>
        <v>Construção de Redes de Abastecimento de Água, Coleta de Esgoto</v>
      </c>
      <c r="B19" s="107" t="s">
        <v>286</v>
      </c>
      <c r="C19" s="104" t="str">
        <f t="shared" si="0"/>
        <v>Construção de Redes de Abastecimento de Água, Coleta de Esgoto-L</v>
      </c>
      <c r="E19" s="108">
        <v>6.7400000000000002E-2</v>
      </c>
      <c r="F19" s="108">
        <v>8.0399999999999985E-2</v>
      </c>
      <c r="G19" s="108">
        <v>9.4E-2</v>
      </c>
      <c r="I19" s="162" t="str">
        <f>IF($I$11=$A$58,"Administração Central da empresa ou consultoria - overhead","Seguro e Garantia")</f>
        <v>Seguro e Garantia</v>
      </c>
      <c r="J19" s="162"/>
      <c r="K19" s="162"/>
      <c r="L19" s="162"/>
      <c r="M19" s="113" t="str">
        <f>IF($I$11=$A$58,"K2","SG")</f>
        <v>SG</v>
      </c>
      <c r="N19" s="114">
        <v>5.0000000000000001E-3</v>
      </c>
      <c r="O19" s="115" t="s">
        <v>18</v>
      </c>
      <c r="P19" s="116">
        <f>VLOOKUP(CONCATENATE(I$11,"-",M19),$C$2:$G$49,3,FALSE)</f>
        <v>3.2000000000000002E-3</v>
      </c>
      <c r="Q19" s="116">
        <f>VLOOKUP(CONCATENATE(I$11,"-",M19),$C$2:$G$49,4,FALSE)</f>
        <v>4.0000000000000001E-3</v>
      </c>
      <c r="R19" s="116">
        <f>VLOOKUP(CONCATENATE(I$11,"-",M19),$C$2:$G$49,5,FALSE)</f>
        <v>7.4000000000000003E-3</v>
      </c>
      <c r="T19" s="172"/>
      <c r="U19" s="172"/>
      <c r="V19" s="112"/>
      <c r="W19" s="112"/>
      <c r="X19" s="112"/>
      <c r="Y19" s="112"/>
      <c r="Z19" s="112"/>
      <c r="AA19" s="112"/>
      <c r="AB19" s="112"/>
      <c r="AC19" s="112"/>
    </row>
    <row r="20" spans="1:31" ht="26.25" customHeight="1" x14ac:dyDescent="0.25">
      <c r="A20" s="104" t="str">
        <f>A19</f>
        <v>Construção de Redes de Abastecimento de Água, Coleta de Esgoto</v>
      </c>
      <c r="B20" s="111" t="s">
        <v>287</v>
      </c>
      <c r="C20" s="104" t="str">
        <f t="shared" si="0"/>
        <v>Construção de Redes de Abastecimento de Água, Coleta de Esgoto-BDI PAD</v>
      </c>
      <c r="E20" s="108">
        <v>0.20760000000000001</v>
      </c>
      <c r="F20" s="108">
        <v>0.24179999999999999</v>
      </c>
      <c r="G20" s="108">
        <v>0.26440000000000002</v>
      </c>
      <c r="I20" s="162" t="str">
        <f>IF($I$11=$A$58,"","Risco")</f>
        <v>Risco</v>
      </c>
      <c r="J20" s="162"/>
      <c r="K20" s="162"/>
      <c r="L20" s="162"/>
      <c r="M20" s="113" t="str">
        <f>IF($I$11=$A$58,"","R")</f>
        <v>R</v>
      </c>
      <c r="N20" s="114">
        <v>5.0000000000000001E-3</v>
      </c>
      <c r="O20" s="115" t="s">
        <v>18</v>
      </c>
      <c r="P20" s="116">
        <f>VLOOKUP(CONCATENATE(I$11,"-",M20),$C$2:$G$49,3,FALSE)</f>
        <v>5.0000000000000001E-3</v>
      </c>
      <c r="Q20" s="116">
        <f>VLOOKUP(CONCATENATE(I$11,"-",M20),$C$2:$G$49,4,FALSE)</f>
        <v>5.6000000000000008E-3</v>
      </c>
      <c r="R20" s="116">
        <f>VLOOKUP(CONCATENATE(I$11,"-",M20),$C$2:$G$49,5,FALSE)</f>
        <v>9.7000000000000003E-3</v>
      </c>
      <c r="T20" s="172"/>
      <c r="U20" s="172"/>
      <c r="V20" s="112"/>
      <c r="W20" s="112"/>
      <c r="X20" s="112"/>
      <c r="Y20" s="112"/>
      <c r="Z20" s="112"/>
      <c r="AA20" s="112"/>
      <c r="AB20" s="112"/>
      <c r="AC20" s="112"/>
    </row>
    <row r="21" spans="1:31" ht="26.25" customHeight="1" x14ac:dyDescent="0.25">
      <c r="A21" s="104" t="s">
        <v>303</v>
      </c>
      <c r="B21" s="107" t="s">
        <v>279</v>
      </c>
      <c r="C21" s="104" t="str">
        <f t="shared" si="0"/>
        <v>Construção e Manutenção de Estações e Redes de Distribuição de Energia Elétrica-AC</v>
      </c>
      <c r="E21" s="108">
        <v>5.2900000000000003E-2</v>
      </c>
      <c r="F21" s="108">
        <v>5.9200000000000003E-2</v>
      </c>
      <c r="G21" s="108">
        <v>7.9299999999999995E-2</v>
      </c>
      <c r="I21" s="162" t="str">
        <f>IF($I$11=$A$58,"","Despesas Financeiras")</f>
        <v>Despesas Financeiras</v>
      </c>
      <c r="J21" s="162"/>
      <c r="K21" s="162"/>
      <c r="L21" s="162"/>
      <c r="M21" s="113" t="str">
        <f>IF($I$11=$A$58,"","DF")</f>
        <v>DF</v>
      </c>
      <c r="N21" s="114">
        <v>1.0200000000000001E-2</v>
      </c>
      <c r="O21" s="115" t="s">
        <v>18</v>
      </c>
      <c r="P21" s="116">
        <f>VLOOKUP(CONCATENATE(I$11,"-",M21),$C$2:$G$49,3,FALSE)</f>
        <v>1.0200000000000001E-2</v>
      </c>
      <c r="Q21" s="116">
        <f>VLOOKUP(CONCATENATE(I$11,"-",M21),$C$2:$G$49,4,FALSE)</f>
        <v>1.11E-2</v>
      </c>
      <c r="R21" s="116">
        <f>VLOOKUP(CONCATENATE(I$11,"-",M21),$C$2:$G$49,5,FALSE)</f>
        <v>1.21E-2</v>
      </c>
      <c r="T21" s="172"/>
      <c r="U21" s="172"/>
    </row>
    <row r="22" spans="1:31" ht="26.25" customHeight="1" x14ac:dyDescent="0.25">
      <c r="A22" s="104" t="str">
        <f>A21</f>
        <v>Construção e Manutenção de Estações e Redes de Distribuição de Energia Elétrica</v>
      </c>
      <c r="B22" s="107" t="s">
        <v>281</v>
      </c>
      <c r="C22" s="104" t="str">
        <f t="shared" si="0"/>
        <v>Construção e Manutenção de Estações e Redes de Distribuição de Energia Elétrica-SG</v>
      </c>
      <c r="E22" s="108">
        <v>2.5000000000000001E-3</v>
      </c>
      <c r="F22" s="108">
        <v>5.1000000000000004E-3</v>
      </c>
      <c r="G22" s="108">
        <v>5.6000000000000008E-3</v>
      </c>
      <c r="I22" s="162" t="str">
        <f>IF($I$11=$A$58,"Margem bruta da empresa de consultoria","Lucro")</f>
        <v>Lucro</v>
      </c>
      <c r="J22" s="162"/>
      <c r="K22" s="162"/>
      <c r="L22" s="162"/>
      <c r="M22" s="113" t="str">
        <f>IF($I$11=$A$58,"K3","L")</f>
        <v>L</v>
      </c>
      <c r="N22" s="114">
        <v>6.6400000000000001E-2</v>
      </c>
      <c r="O22" s="115" t="s">
        <v>18</v>
      </c>
      <c r="P22" s="116">
        <f>VLOOKUP(CONCATENATE(I$11,"-",M22),$C$2:$G$49,3,FALSE)</f>
        <v>6.6400000000000001E-2</v>
      </c>
      <c r="Q22" s="116">
        <f>VLOOKUP(CONCATENATE(I$11,"-",M22),$C$2:$G$49,4,FALSE)</f>
        <v>7.2999999999999995E-2</v>
      </c>
      <c r="R22" s="116">
        <f>VLOOKUP(CONCATENATE(I$11,"-",M22),$C$2:$G$49,5,FALSE)</f>
        <v>8.6899999999999991E-2</v>
      </c>
      <c r="T22" s="172"/>
      <c r="U22" s="172"/>
    </row>
    <row r="23" spans="1:31" ht="26.25" customHeight="1" x14ac:dyDescent="0.25">
      <c r="A23" s="104" t="str">
        <f>A22</f>
        <v>Construção e Manutenção de Estações e Redes de Distribuição de Energia Elétrica</v>
      </c>
      <c r="B23" s="107" t="s">
        <v>282</v>
      </c>
      <c r="C23" s="104" t="str">
        <f t="shared" si="0"/>
        <v>Construção e Manutenção de Estações e Redes de Distribuição de Energia Elétrica-R</v>
      </c>
      <c r="E23" s="108">
        <v>0.01</v>
      </c>
      <c r="F23" s="108">
        <v>1.4800000000000001E-2</v>
      </c>
      <c r="G23" s="108">
        <v>1.9699999999999999E-2</v>
      </c>
      <c r="I23" s="173" t="s">
        <v>304</v>
      </c>
      <c r="J23" s="173"/>
      <c r="K23" s="173"/>
      <c r="L23" s="173"/>
      <c r="M23" s="113" t="s">
        <v>305</v>
      </c>
      <c r="N23" s="114">
        <v>3.6499999999999998E-2</v>
      </c>
      <c r="O23" s="115" t="s">
        <v>18</v>
      </c>
      <c r="P23" s="116">
        <v>3.6499999999999998E-2</v>
      </c>
      <c r="Q23" s="116">
        <v>3.6499999999999998E-2</v>
      </c>
      <c r="R23" s="116">
        <v>3.6499999999999998E-2</v>
      </c>
      <c r="T23" s="172"/>
      <c r="U23" s="172"/>
    </row>
    <row r="24" spans="1:31" ht="26.25" customHeight="1" x14ac:dyDescent="0.25">
      <c r="A24" s="104" t="str">
        <f>A23</f>
        <v>Construção e Manutenção de Estações e Redes de Distribuição de Energia Elétrica</v>
      </c>
      <c r="B24" s="107" t="s">
        <v>285</v>
      </c>
      <c r="C24" s="104" t="str">
        <f t="shared" si="0"/>
        <v>Construção e Manutenção de Estações e Redes de Distribuição de Energia Elétrica-DF</v>
      </c>
      <c r="E24" s="108">
        <v>1.01E-2</v>
      </c>
      <c r="F24" s="108">
        <v>1.0700000000000001E-2</v>
      </c>
      <c r="G24" s="108">
        <v>1.11E-2</v>
      </c>
      <c r="I24" s="162" t="s">
        <v>306</v>
      </c>
      <c r="J24" s="162"/>
      <c r="K24" s="162"/>
      <c r="L24" s="162"/>
      <c r="M24" s="113" t="s">
        <v>307</v>
      </c>
      <c r="N24" s="116">
        <f>IF(I11&lt;&gt;A57,Q14*Q13,0)</f>
        <v>0.02</v>
      </c>
      <c r="O24" s="115" t="s">
        <v>18</v>
      </c>
      <c r="P24" s="116">
        <v>0</v>
      </c>
      <c r="Q24" s="116">
        <v>2.5000000000000001E-2</v>
      </c>
      <c r="R24" s="116">
        <v>0.05</v>
      </c>
      <c r="T24" s="172"/>
      <c r="U24" s="172"/>
    </row>
    <row r="25" spans="1:31" ht="26.25" customHeight="1" x14ac:dyDescent="0.25">
      <c r="A25" s="104" t="str">
        <f>A24</f>
        <v>Construção e Manutenção de Estações e Redes de Distribuição de Energia Elétrica</v>
      </c>
      <c r="B25" s="107" t="s">
        <v>286</v>
      </c>
      <c r="C25" s="104" t="str">
        <f t="shared" si="0"/>
        <v>Construção e Manutenção de Estações e Redes de Distribuição de Energia Elétrica-L</v>
      </c>
      <c r="E25" s="108">
        <v>0.08</v>
      </c>
      <c r="F25" s="108">
        <v>8.3100000000000007E-2</v>
      </c>
      <c r="G25" s="108">
        <v>9.5100000000000004E-2</v>
      </c>
      <c r="I25" s="162" t="s">
        <v>308</v>
      </c>
      <c r="J25" s="162"/>
      <c r="K25" s="162"/>
      <c r="L25" s="162"/>
      <c r="M25" s="113" t="s">
        <v>309</v>
      </c>
      <c r="N25" s="116">
        <f>IF(Q11="Sim",4.5%,0%)</f>
        <v>4.4999999999999998E-2</v>
      </c>
      <c r="O25" s="115" t="str">
        <f>IF(AND(N25&gt;=P25, N25&lt;=R25), "OK", "Não OK")</f>
        <v>OK</v>
      </c>
      <c r="P25" s="117">
        <v>0</v>
      </c>
      <c r="Q25" s="117">
        <v>4.4999999999999998E-2</v>
      </c>
      <c r="R25" s="117">
        <v>4.4999999999999998E-2</v>
      </c>
    </row>
    <row r="26" spans="1:31" ht="30.75" customHeight="1" x14ac:dyDescent="0.3">
      <c r="A26" s="104" t="str">
        <f>A25</f>
        <v>Construção e Manutenção de Estações e Redes de Distribuição de Energia Elétrica</v>
      </c>
      <c r="B26" s="111" t="s">
        <v>287</v>
      </c>
      <c r="C26" s="104" t="str">
        <f t="shared" si="0"/>
        <v>Construção e Manutenção de Estações e Redes de Distribuição de Energia Elétrica-BDI PAD</v>
      </c>
      <c r="E26" s="108">
        <v>0.24</v>
      </c>
      <c r="F26" s="108">
        <v>0.25840000000000002</v>
      </c>
      <c r="G26" s="108">
        <v>0.27860000000000001</v>
      </c>
      <c r="I26" s="162" t="s">
        <v>310</v>
      </c>
      <c r="J26" s="162"/>
      <c r="K26" s="162"/>
      <c r="L26" s="162"/>
      <c r="M26" s="118" t="s">
        <v>287</v>
      </c>
      <c r="N26" s="116">
        <f>ROUND((((1+N18+N19+N20)*(1+N21)*(1+N22)/(1-(N23+N24)))-1),4)</f>
        <v>0.1966</v>
      </c>
      <c r="O26" s="119" t="str">
        <f>IF(OR($I$11=$A$58,AND(N26&gt;=P26, N26&lt;=R26)), "OK", "FORA DO INTERVALO")</f>
        <v>OK</v>
      </c>
      <c r="P26" s="116">
        <f>VLOOKUP(CONCATENATE($I$11,"-",$M26),$C$2:$G$49,3,FALSE)</f>
        <v>0.19600000000000001</v>
      </c>
      <c r="Q26" s="116">
        <f>VLOOKUP(CONCATENATE($I$11,"-",$M26),$C$2:$G$49,4,FALSE)</f>
        <v>0.2097</v>
      </c>
      <c r="R26" s="116">
        <f>VLOOKUP(CONCATENATE($I$11,"-",$M26),$C$2:$G$49,5,FALSE)</f>
        <v>0.24230000000000002</v>
      </c>
      <c r="T26" s="120"/>
      <c r="V26" s="112"/>
      <c r="W26" s="112"/>
      <c r="X26" s="112"/>
      <c r="Y26" s="112"/>
      <c r="Z26" s="112"/>
      <c r="AA26" s="112"/>
      <c r="AB26" s="112"/>
      <c r="AC26" s="112"/>
      <c r="AD26" s="112"/>
      <c r="AE26" s="112"/>
    </row>
    <row r="27" spans="1:31" ht="30" customHeight="1" x14ac:dyDescent="0.3">
      <c r="A27" s="104" t="s">
        <v>311</v>
      </c>
      <c r="B27" s="107" t="s">
        <v>279</v>
      </c>
      <c r="C27" s="104" t="str">
        <f t="shared" si="0"/>
        <v>Obras Portuárias, Marítimas e Fluviais-AC</v>
      </c>
      <c r="E27" s="108">
        <v>0.04</v>
      </c>
      <c r="F27" s="108">
        <v>5.5199999999999999E-2</v>
      </c>
      <c r="G27" s="108">
        <v>7.85E-2</v>
      </c>
      <c r="I27" s="163" t="s">
        <v>312</v>
      </c>
      <c r="J27" s="163"/>
      <c r="K27" s="163"/>
      <c r="L27" s="163"/>
      <c r="M27" s="121" t="s">
        <v>313</v>
      </c>
      <c r="N27" s="122">
        <f>ROUND((((1+N18+N19+N20)*(1+N21)*(1+N22)/(1-(N23+N24+N25)))-1),4)</f>
        <v>0.25650000000000001</v>
      </c>
      <c r="O27" s="123" t="str">
        <f>IF(Q11&lt;&gt;"Sim","",O26)</f>
        <v>OK</v>
      </c>
      <c r="P27" s="164"/>
      <c r="Q27" s="164"/>
      <c r="R27" s="164"/>
      <c r="T27" s="120"/>
      <c r="V27" s="124" t="b">
        <f>AND(COUNTA(N18:N23)=6,O26&lt;&gt;"ok",NOT(V29))</f>
        <v>0</v>
      </c>
      <c r="W27" s="104" t="s">
        <v>314</v>
      </c>
    </row>
    <row r="28" spans="1:31" ht="7.5" customHeight="1" x14ac:dyDescent="0.25">
      <c r="A28" s="104" t="str">
        <f>A27</f>
        <v>Obras Portuárias, Marítimas e Fluviais</v>
      </c>
      <c r="B28" s="107" t="s">
        <v>281</v>
      </c>
      <c r="C28" s="104" t="str">
        <f t="shared" si="0"/>
        <v>Obras Portuárias, Marítimas e Fluviais-SG</v>
      </c>
      <c r="E28" s="108">
        <v>8.1000000000000013E-3</v>
      </c>
      <c r="F28" s="108">
        <v>1.2199999999999999E-2</v>
      </c>
      <c r="G28" s="108">
        <v>1.9900000000000001E-2</v>
      </c>
      <c r="V28" s="124"/>
    </row>
    <row r="29" spans="1:31" ht="21.75" customHeight="1" x14ac:dyDescent="0.25">
      <c r="A29" s="104" t="str">
        <f>A28</f>
        <v>Obras Portuárias, Marítimas e Fluviais</v>
      </c>
      <c r="B29" s="107" t="s">
        <v>282</v>
      </c>
      <c r="C29" s="104" t="str">
        <f t="shared" si="0"/>
        <v>Obras Portuárias, Marítimas e Fluviais-R</v>
      </c>
      <c r="E29" s="108">
        <v>1.46E-2</v>
      </c>
      <c r="F29" s="108">
        <v>2.3199999999999998E-2</v>
      </c>
      <c r="G29" s="108">
        <v>3.1600000000000003E-2</v>
      </c>
      <c r="I29" s="125" t="str">
        <f>IF(V29,"X","")</f>
        <v/>
      </c>
      <c r="J29" s="165" t="s">
        <v>315</v>
      </c>
      <c r="K29" s="165"/>
      <c r="L29" s="165"/>
      <c r="M29" s="165"/>
      <c r="N29" s="165"/>
      <c r="O29" s="165"/>
      <c r="P29" s="165"/>
      <c r="Q29" s="165"/>
      <c r="R29" s="165"/>
      <c r="V29" s="124" t="b">
        <v>0</v>
      </c>
      <c r="W29" s="104" t="s">
        <v>316</v>
      </c>
    </row>
    <row r="30" spans="1:31" ht="7.5" customHeight="1" x14ac:dyDescent="0.25">
      <c r="B30" s="107"/>
      <c r="E30" s="108"/>
      <c r="F30" s="108"/>
      <c r="G30" s="108"/>
      <c r="V30" s="124"/>
    </row>
    <row r="31" spans="1:31" ht="18.75" customHeight="1" x14ac:dyDescent="0.25">
      <c r="B31" s="107"/>
      <c r="E31" s="108"/>
      <c r="F31" s="108"/>
      <c r="G31" s="108"/>
      <c r="I31" s="166" t="s">
        <v>317</v>
      </c>
      <c r="J31" s="166"/>
      <c r="K31" s="166"/>
      <c r="L31" s="166"/>
      <c r="M31" s="166"/>
      <c r="N31" s="166"/>
      <c r="O31" s="166"/>
      <c r="P31" s="166"/>
      <c r="Q31" s="166"/>
      <c r="R31" s="166"/>
    </row>
    <row r="32" spans="1:31" ht="30" customHeight="1" x14ac:dyDescent="0.3">
      <c r="A32" s="104" t="str">
        <f>A29</f>
        <v>Obras Portuárias, Marítimas e Fluviais</v>
      </c>
      <c r="B32" s="107" t="s">
        <v>285</v>
      </c>
      <c r="C32" s="104" t="str">
        <f t="shared" si="0"/>
        <v>Obras Portuárias, Marítimas e Fluviais-DF</v>
      </c>
      <c r="E32" s="108">
        <v>9.3999999999999986E-3</v>
      </c>
      <c r="F32" s="108">
        <v>1.0200000000000001E-2</v>
      </c>
      <c r="G32" s="108">
        <v>1.3300000000000001E-2</v>
      </c>
      <c r="I32" s="126"/>
      <c r="J32" s="126"/>
      <c r="K32" s="126"/>
      <c r="L32" s="167" t="str">
        <f>IF(Q11="Sim","BDI.DES =","BDI.PAD =")</f>
        <v>BDI.DES =</v>
      </c>
      <c r="M32" s="168" t="str">
        <f>IF($I$11=$A$58,"(1+K1+K2)*(1+K3)","(1+AC + S + R + G)*(1 + DF)*(1+L)")</f>
        <v>(1+AC + S + R + G)*(1 + DF)*(1+L)</v>
      </c>
      <c r="N32" s="168"/>
      <c r="O32" s="168"/>
      <c r="P32" s="169" t="s">
        <v>318</v>
      </c>
      <c r="Q32" s="126"/>
      <c r="R32" s="126"/>
    </row>
    <row r="33" spans="1:18" ht="27" customHeight="1" x14ac:dyDescent="0.25">
      <c r="A33" s="104" t="str">
        <f>A32</f>
        <v>Obras Portuárias, Marítimas e Fluviais</v>
      </c>
      <c r="B33" s="107" t="s">
        <v>286</v>
      </c>
      <c r="C33" s="104" t="str">
        <f t="shared" si="0"/>
        <v>Obras Portuárias, Marítimas e Fluviais-L</v>
      </c>
      <c r="E33" s="108">
        <v>7.1399999999999991E-2</v>
      </c>
      <c r="F33" s="108">
        <v>8.4000000000000005E-2</v>
      </c>
      <c r="G33" s="108">
        <v>0.1043</v>
      </c>
      <c r="I33" s="126"/>
      <c r="J33" s="126"/>
      <c r="K33" s="126"/>
      <c r="L33" s="167"/>
      <c r="M33" s="171" t="str">
        <f>IF(Q11="Sim","(1-CP-ISS-CRPB)","(1-CP-ISS)")</f>
        <v>(1-CP-ISS-CRPB)</v>
      </c>
      <c r="N33" s="171"/>
      <c r="O33" s="171"/>
      <c r="P33" s="170"/>
      <c r="Q33" s="126"/>
      <c r="R33" s="126"/>
    </row>
    <row r="34" spans="1:18" ht="7.5" customHeight="1" x14ac:dyDescent="0.25">
      <c r="A34" s="104" t="str">
        <f>A33</f>
        <v>Obras Portuárias, Marítimas e Fluviais</v>
      </c>
      <c r="B34" s="111" t="s">
        <v>287</v>
      </c>
      <c r="C34" s="104" t="str">
        <f t="shared" si="0"/>
        <v>Obras Portuárias, Marítimas e Fluviais-BDI PAD</v>
      </c>
      <c r="E34" s="108">
        <v>0.22800000000000001</v>
      </c>
      <c r="F34" s="108">
        <v>0.27479999999999999</v>
      </c>
      <c r="G34" s="108">
        <v>0.3095</v>
      </c>
      <c r="I34" s="127"/>
      <c r="J34" s="127"/>
      <c r="K34" s="127"/>
      <c r="L34" s="127"/>
      <c r="M34" s="127"/>
      <c r="N34" s="127"/>
      <c r="O34" s="127"/>
      <c r="P34" s="127"/>
      <c r="Q34" s="127"/>
      <c r="R34" s="127"/>
    </row>
    <row r="35" spans="1:18" ht="45" customHeight="1" x14ac:dyDescent="0.25">
      <c r="B35" s="111"/>
      <c r="E35" s="108"/>
      <c r="F35" s="108"/>
      <c r="G35" s="108"/>
      <c r="I35" s="161" t="str">
        <f>CONCATENATE("Declaro para os devidos fins que, conforme legislação tributária municipal, a base de cálculo para ",I11,", é de ",Q13*100,"%, com a respectiva alíquota de ",Q14*100,"%.")</f>
        <v>Declaro para os devidos fins que, conforme legislação tributária municipal, a base de cálculo para Construção de Praças Urbanas, Rodovias, Ferrovias e recapeamento e pavimentação de vias urbanas, é de 100%, com a respectiva alíquota de 2%.</v>
      </c>
      <c r="J35" s="161"/>
      <c r="K35" s="161"/>
      <c r="L35" s="161"/>
      <c r="M35" s="161"/>
      <c r="N35" s="161"/>
      <c r="O35" s="161"/>
      <c r="P35" s="161"/>
      <c r="Q35" s="161"/>
      <c r="R35" s="161"/>
    </row>
    <row r="36" spans="1:18" ht="11.25" customHeight="1" x14ac:dyDescent="0.25">
      <c r="B36" s="111"/>
      <c r="E36" s="108"/>
      <c r="F36" s="108"/>
      <c r="G36" s="108"/>
    </row>
    <row r="37" spans="1:18" ht="52.5" customHeight="1" x14ac:dyDescent="0.25">
      <c r="B37" s="111"/>
      <c r="E37" s="108"/>
      <c r="F37" s="108"/>
      <c r="G37" s="108"/>
      <c r="I37" s="161" t="str">
        <f>CONCATENATE("Declaro para os devidos fins que o regime de Contribuição Previdenciária sobre a Receita Bruta adotado para elaboração do orçamento foi ",IF(Q11="Sim","COM","SEM")," Desoneração, e que esta é a alternativa mais adequada para a Administração Pública.")</f>
        <v>Declaro para os devidos fins que o regime de Contribuição Previdenciária sobre a Receita Bruta adotado para elaboração do orçamento foi COM Desoneração, e que esta é a alternativa mais adequada para a Administração Pública.</v>
      </c>
      <c r="J37" s="161"/>
      <c r="K37" s="161"/>
      <c r="L37" s="161"/>
      <c r="M37" s="161"/>
      <c r="N37" s="161"/>
      <c r="O37" s="161"/>
      <c r="P37" s="161"/>
      <c r="Q37" s="161"/>
      <c r="R37" s="161"/>
    </row>
    <row r="38" spans="1:18" ht="18" customHeight="1" x14ac:dyDescent="0.25">
      <c r="A38" s="104" t="s">
        <v>319</v>
      </c>
      <c r="B38" s="107" t="s">
        <v>279</v>
      </c>
      <c r="C38" s="104" t="str">
        <f t="shared" si="0"/>
        <v>Fornecimento de Materiais e Equipamentos-AC</v>
      </c>
      <c r="E38" s="108">
        <v>1.4999999999999999E-2</v>
      </c>
      <c r="F38" s="108">
        <v>3.4500000000000003E-2</v>
      </c>
      <c r="G38" s="108">
        <v>4.4900000000000002E-2</v>
      </c>
    </row>
    <row r="39" spans="1:18" ht="13.2" x14ac:dyDescent="0.25">
      <c r="A39" s="104" t="str">
        <f>A38</f>
        <v>Fornecimento de Materiais e Equipamentos</v>
      </c>
      <c r="B39" s="107" t="s">
        <v>281</v>
      </c>
      <c r="C39" s="104" t="str">
        <f t="shared" si="0"/>
        <v>Fornecimento de Materiais e Equipamentos-SG</v>
      </c>
      <c r="E39" s="108">
        <v>3.0000000000000001E-3</v>
      </c>
      <c r="F39" s="108">
        <v>4.7999999999999996E-3</v>
      </c>
      <c r="G39" s="108">
        <v>8.199999999999999E-3</v>
      </c>
      <c r="I39" s="104" t="s">
        <v>320</v>
      </c>
    </row>
    <row r="40" spans="1:18" ht="42.75" customHeight="1" x14ac:dyDescent="0.25">
      <c r="A40" s="104" t="str">
        <f>A39</f>
        <v>Fornecimento de Materiais e Equipamentos</v>
      </c>
      <c r="B40" s="107" t="s">
        <v>282</v>
      </c>
      <c r="C40" s="104" t="str">
        <f t="shared" si="0"/>
        <v>Fornecimento de Materiais e Equipamentos-R</v>
      </c>
      <c r="E40" s="108">
        <v>5.6000000000000008E-3</v>
      </c>
      <c r="F40" s="108">
        <v>8.5000000000000006E-3</v>
      </c>
      <c r="G40" s="108">
        <v>8.8999999999999999E-3</v>
      </c>
      <c r="I40" s="154"/>
      <c r="J40" s="155"/>
      <c r="K40" s="155"/>
      <c r="L40" s="155"/>
      <c r="M40" s="155"/>
      <c r="N40" s="155"/>
      <c r="O40" s="155"/>
      <c r="P40" s="155"/>
      <c r="Q40" s="155"/>
      <c r="R40" s="156"/>
    </row>
    <row r="41" spans="1:18" ht="16.5" customHeight="1" x14ac:dyDescent="0.25">
      <c r="A41" s="104" t="str">
        <f>A40</f>
        <v>Fornecimento de Materiais e Equipamentos</v>
      </c>
      <c r="B41" s="107" t="s">
        <v>285</v>
      </c>
      <c r="C41" s="104" t="str">
        <f t="shared" si="0"/>
        <v>Fornecimento de Materiais e Equipamentos-DF</v>
      </c>
      <c r="E41" s="108">
        <v>8.5000000000000006E-3</v>
      </c>
      <c r="F41" s="108">
        <v>8.5000000000000006E-3</v>
      </c>
      <c r="G41" s="108">
        <v>1.11E-2</v>
      </c>
    </row>
    <row r="42" spans="1:18" ht="13.2" x14ac:dyDescent="0.25">
      <c r="A42" s="104" t="str">
        <f>A41</f>
        <v>Fornecimento de Materiais e Equipamentos</v>
      </c>
      <c r="B42" s="107" t="s">
        <v>286</v>
      </c>
      <c r="C42" s="104" t="str">
        <f t="shared" si="0"/>
        <v>Fornecimento de Materiais e Equipamentos-L</v>
      </c>
      <c r="E42" s="108">
        <v>3.5000000000000003E-2</v>
      </c>
      <c r="F42" s="108">
        <v>5.1100000000000007E-2</v>
      </c>
      <c r="G42" s="108">
        <v>6.2199999999999998E-2</v>
      </c>
      <c r="I42" s="157" t="s">
        <v>338</v>
      </c>
      <c r="J42" s="157"/>
      <c r="K42" s="157"/>
      <c r="L42" s="157"/>
      <c r="O42" s="158">
        <v>44377</v>
      </c>
      <c r="P42" s="158"/>
      <c r="Q42" s="158"/>
      <c r="R42" s="158"/>
    </row>
    <row r="43" spans="1:18" ht="15" customHeight="1" x14ac:dyDescent="0.25">
      <c r="A43" s="104" t="str">
        <f>A42</f>
        <v>Fornecimento de Materiais e Equipamentos</v>
      </c>
      <c r="B43" s="111" t="s">
        <v>287</v>
      </c>
      <c r="C43" s="104" t="str">
        <f t="shared" si="0"/>
        <v>Fornecimento de Materiais e Equipamentos-BDI PAD</v>
      </c>
      <c r="E43" s="108">
        <v>0.111</v>
      </c>
      <c r="F43" s="108">
        <v>0.14019999999999999</v>
      </c>
      <c r="G43" s="108">
        <v>0.16800000000000001</v>
      </c>
      <c r="I43" s="159" t="s">
        <v>321</v>
      </c>
      <c r="J43" s="159"/>
      <c r="K43" s="159"/>
      <c r="L43" s="159"/>
      <c r="N43" s="128"/>
      <c r="O43" s="129" t="s">
        <v>322</v>
      </c>
      <c r="P43" s="130"/>
      <c r="Q43" s="130"/>
      <c r="R43" s="130"/>
    </row>
    <row r="44" spans="1:18" ht="13.2" x14ac:dyDescent="0.25">
      <c r="A44" s="104" t="s">
        <v>323</v>
      </c>
      <c r="B44" s="107" t="s">
        <v>324</v>
      </c>
      <c r="C44" s="104" t="str">
        <f t="shared" si="0"/>
        <v>Estudos e Projetos, Planos e Gerenciamento e outros correlatos-K1</v>
      </c>
      <c r="E44" s="108" t="s">
        <v>18</v>
      </c>
      <c r="F44" s="108" t="s">
        <v>18</v>
      </c>
      <c r="G44" s="108" t="s">
        <v>18</v>
      </c>
    </row>
    <row r="45" spans="1:18" ht="30" customHeight="1" x14ac:dyDescent="0.25">
      <c r="A45" s="104" t="str">
        <f>A44</f>
        <v>Estudos e Projetos, Planos e Gerenciamento e outros correlatos</v>
      </c>
      <c r="B45" s="107" t="s">
        <v>325</v>
      </c>
      <c r="C45" s="104" t="str">
        <f t="shared" si="0"/>
        <v>Estudos e Projetos, Planos e Gerenciamento e outros correlatos-K2</v>
      </c>
      <c r="E45" s="108" t="s">
        <v>18</v>
      </c>
      <c r="F45" s="108">
        <v>0.2</v>
      </c>
      <c r="G45" s="108" t="s">
        <v>18</v>
      </c>
      <c r="I45" s="160"/>
      <c r="J45" s="160"/>
      <c r="K45" s="160"/>
      <c r="L45" s="160"/>
      <c r="M45" s="131"/>
      <c r="N45" s="131"/>
      <c r="O45" s="160"/>
      <c r="P45" s="160"/>
      <c r="Q45" s="160"/>
      <c r="R45" s="160"/>
    </row>
    <row r="46" spans="1:18" ht="13.2" x14ac:dyDescent="0.25">
      <c r="A46" s="104" t="str">
        <f>A45</f>
        <v>Estudos e Projetos, Planos e Gerenciamento e outros correlatos</v>
      </c>
      <c r="B46" s="107" t="s">
        <v>326</v>
      </c>
      <c r="C46" s="104" t="str">
        <f t="shared" si="0"/>
        <v>Estudos e Projetos, Planos e Gerenciamento e outros correlatos-</v>
      </c>
      <c r="E46" s="108" t="s">
        <v>18</v>
      </c>
      <c r="F46" s="108" t="s">
        <v>18</v>
      </c>
      <c r="G46" s="108" t="s">
        <v>18</v>
      </c>
      <c r="I46" s="152" t="s">
        <v>327</v>
      </c>
      <c r="J46" s="152"/>
      <c r="K46" s="152"/>
      <c r="L46" s="152"/>
      <c r="M46" s="132"/>
      <c r="N46" s="132"/>
      <c r="O46" s="152" t="s">
        <v>328</v>
      </c>
      <c r="P46" s="152"/>
      <c r="Q46" s="152"/>
      <c r="R46" s="152"/>
    </row>
    <row r="47" spans="1:18" ht="13.8" x14ac:dyDescent="0.25">
      <c r="A47" s="104" t="str">
        <f>A46</f>
        <v>Estudos e Projetos, Planos e Gerenciamento e outros correlatos</v>
      </c>
      <c r="B47" s="107" t="s">
        <v>326</v>
      </c>
      <c r="C47" s="104" t="str">
        <f t="shared" si="0"/>
        <v>Estudos e Projetos, Planos e Gerenciamento e outros correlatos-</v>
      </c>
      <c r="E47" s="108" t="s">
        <v>18</v>
      </c>
      <c r="F47" s="108" t="s">
        <v>18</v>
      </c>
      <c r="G47" s="108" t="s">
        <v>18</v>
      </c>
      <c r="I47" s="133" t="s">
        <v>329</v>
      </c>
      <c r="J47" s="151" t="s">
        <v>345</v>
      </c>
      <c r="K47" s="151"/>
      <c r="L47" s="151"/>
      <c r="M47" s="134"/>
      <c r="N47" s="134"/>
      <c r="O47" s="133" t="s">
        <v>329</v>
      </c>
      <c r="P47" s="153" t="s">
        <v>339</v>
      </c>
      <c r="Q47" s="153"/>
      <c r="R47" s="153"/>
    </row>
    <row r="48" spans="1:18" ht="13.8" x14ac:dyDescent="0.25">
      <c r="A48" s="104" t="str">
        <f>A47</f>
        <v>Estudos e Projetos, Planos e Gerenciamento e outros correlatos</v>
      </c>
      <c r="B48" s="107" t="s">
        <v>330</v>
      </c>
      <c r="C48" s="104" t="str">
        <f t="shared" si="0"/>
        <v>Estudos e Projetos, Planos e Gerenciamento e outros correlatos-K3</v>
      </c>
      <c r="E48" s="108" t="s">
        <v>18</v>
      </c>
      <c r="F48" s="108">
        <v>0.12</v>
      </c>
      <c r="G48" s="108" t="s">
        <v>18</v>
      </c>
      <c r="I48" s="133" t="s">
        <v>331</v>
      </c>
      <c r="J48" s="151" t="s">
        <v>332</v>
      </c>
      <c r="K48" s="151"/>
      <c r="L48" s="151"/>
      <c r="M48" s="134"/>
      <c r="N48" s="134"/>
      <c r="O48" s="133" t="s">
        <v>333</v>
      </c>
      <c r="P48" s="153" t="s">
        <v>334</v>
      </c>
      <c r="Q48" s="153"/>
      <c r="R48" s="153"/>
    </row>
    <row r="49" spans="1:18" ht="13.8" x14ac:dyDescent="0.25">
      <c r="A49" s="104" t="str">
        <f>A48</f>
        <v>Estudos e Projetos, Planos e Gerenciamento e outros correlatos</v>
      </c>
      <c r="B49" s="111" t="s">
        <v>287</v>
      </c>
      <c r="C49" s="104" t="str">
        <f t="shared" si="0"/>
        <v>Estudos e Projetos, Planos e Gerenciamento e outros correlatos-BDI PAD</v>
      </c>
      <c r="E49" s="108" t="s">
        <v>18</v>
      </c>
      <c r="F49" s="108" t="s">
        <v>18</v>
      </c>
      <c r="G49" s="108" t="s">
        <v>18</v>
      </c>
      <c r="I49" s="133" t="s">
        <v>335</v>
      </c>
      <c r="J49" s="151" t="s">
        <v>348</v>
      </c>
      <c r="K49" s="151"/>
      <c r="L49" s="151"/>
      <c r="M49" s="134"/>
      <c r="N49" s="134"/>
      <c r="O49" s="134"/>
      <c r="P49" s="134"/>
      <c r="Q49" s="134"/>
      <c r="R49" s="134"/>
    </row>
    <row r="50" spans="1:18" ht="13.2" x14ac:dyDescent="0.25">
      <c r="I50" s="133" t="s">
        <v>336</v>
      </c>
      <c r="J50" s="151" t="s">
        <v>351</v>
      </c>
      <c r="K50" s="151"/>
      <c r="L50" s="151"/>
    </row>
    <row r="51" spans="1:18" ht="13.2" x14ac:dyDescent="0.25"/>
    <row r="52" spans="1:18" ht="13.2" hidden="1" x14ac:dyDescent="0.25">
      <c r="A52" s="104" t="s">
        <v>278</v>
      </c>
    </row>
    <row r="53" spans="1:18" ht="13.2" hidden="1" x14ac:dyDescent="0.25">
      <c r="A53" s="104" t="s">
        <v>289</v>
      </c>
    </row>
    <row r="54" spans="1:18" ht="13.2" hidden="1" x14ac:dyDescent="0.25">
      <c r="A54" s="104" t="s">
        <v>294</v>
      </c>
    </row>
    <row r="55" spans="1:18" ht="13.2" hidden="1" x14ac:dyDescent="0.25">
      <c r="A55" s="104" t="s">
        <v>303</v>
      </c>
    </row>
    <row r="56" spans="1:18" ht="13.2" hidden="1" x14ac:dyDescent="0.25">
      <c r="A56" s="104" t="s">
        <v>311</v>
      </c>
    </row>
    <row r="57" spans="1:18" ht="13.2" hidden="1" x14ac:dyDescent="0.25">
      <c r="A57" s="104" t="s">
        <v>319</v>
      </c>
    </row>
    <row r="58" spans="1:18" ht="13.2" hidden="1" x14ac:dyDescent="0.25">
      <c r="A58" s="104" t="s">
        <v>323</v>
      </c>
    </row>
    <row r="59" spans="1:18" ht="13.8" hidden="1" x14ac:dyDescent="0.25">
      <c r="A59" s="135"/>
      <c r="B59" s="134"/>
      <c r="C59" s="134"/>
      <c r="D59" s="134"/>
      <c r="E59" s="134"/>
      <c r="F59" s="134"/>
      <c r="G59" s="134"/>
    </row>
  </sheetData>
  <sheetProtection password="9FC5" sheet="1"/>
  <mergeCells count="57">
    <mergeCell ref="Q1:R1"/>
    <mergeCell ref="Q2:R2"/>
    <mergeCell ref="I4:J4"/>
    <mergeCell ref="K4:R4"/>
    <mergeCell ref="I5:J5"/>
    <mergeCell ref="K5:R5"/>
    <mergeCell ref="I7:R7"/>
    <mergeCell ref="I8:R8"/>
    <mergeCell ref="I10:P10"/>
    <mergeCell ref="Q10:R10"/>
    <mergeCell ref="I11:P11"/>
    <mergeCell ref="Q11:R11"/>
    <mergeCell ref="I13:P13"/>
    <mergeCell ref="Q13:R13"/>
    <mergeCell ref="I14:P14"/>
    <mergeCell ref="Q14:R14"/>
    <mergeCell ref="I16:L17"/>
    <mergeCell ref="M16:M17"/>
    <mergeCell ref="N16:N17"/>
    <mergeCell ref="O16:O17"/>
    <mergeCell ref="P16:P17"/>
    <mergeCell ref="Q16:Q17"/>
    <mergeCell ref="R16:R17"/>
    <mergeCell ref="T16:U24"/>
    <mergeCell ref="I18:L18"/>
    <mergeCell ref="I19:L19"/>
    <mergeCell ref="I20:L20"/>
    <mergeCell ref="I21:L21"/>
    <mergeCell ref="I22:L22"/>
    <mergeCell ref="I23:L23"/>
    <mergeCell ref="I24:L24"/>
    <mergeCell ref="I37:R37"/>
    <mergeCell ref="I25:L25"/>
    <mergeCell ref="I26:L26"/>
    <mergeCell ref="I27:L27"/>
    <mergeCell ref="P27:R27"/>
    <mergeCell ref="J29:R29"/>
    <mergeCell ref="I31:R31"/>
    <mergeCell ref="L32:L33"/>
    <mergeCell ref="M32:O32"/>
    <mergeCell ref="P32:P33"/>
    <mergeCell ref="M33:O33"/>
    <mergeCell ref="I35:R35"/>
    <mergeCell ref="I40:R40"/>
    <mergeCell ref="I42:L42"/>
    <mergeCell ref="O42:R42"/>
    <mergeCell ref="I43:L43"/>
    <mergeCell ref="I45:L45"/>
    <mergeCell ref="O45:R45"/>
    <mergeCell ref="J49:L49"/>
    <mergeCell ref="J50:L50"/>
    <mergeCell ref="I46:L46"/>
    <mergeCell ref="O46:R46"/>
    <mergeCell ref="J47:L47"/>
    <mergeCell ref="P47:R47"/>
    <mergeCell ref="J48:L48"/>
    <mergeCell ref="P48:R48"/>
  </mergeCells>
  <conditionalFormatting sqref="O42">
    <cfRule type="expression" dxfId="8" priority="9" stopIfTrue="1">
      <formula>$O$42=""</formula>
    </cfRule>
  </conditionalFormatting>
  <conditionalFormatting sqref="O18:O27">
    <cfRule type="expression" dxfId="7" priority="7" stopIfTrue="1">
      <formula>AND(O18&lt;&gt;"OK",O18&lt;&gt;"-",O18&lt;&gt;"")</formula>
    </cfRule>
    <cfRule type="cellIs" dxfId="6" priority="8" stopIfTrue="1" operator="equal">
      <formula>"OK"</formula>
    </cfRule>
  </conditionalFormatting>
  <conditionalFormatting sqref="I26:N26">
    <cfRule type="expression" dxfId="5" priority="6" stopIfTrue="1">
      <formula>$Q$11="Não"</formula>
    </cfRule>
  </conditionalFormatting>
  <conditionalFormatting sqref="I27:N27">
    <cfRule type="expression" dxfId="4" priority="5" stopIfTrue="1">
      <formula>$Q$11="sim"</formula>
    </cfRule>
  </conditionalFormatting>
  <conditionalFormatting sqref="P27:R27">
    <cfRule type="expression" dxfId="3" priority="4" stopIfTrue="1">
      <formula>$Q$11="sim"</formula>
    </cfRule>
  </conditionalFormatting>
  <conditionalFormatting sqref="P47:R48">
    <cfRule type="expression" dxfId="2" priority="3" stopIfTrue="1">
      <formula>P47=""</formula>
    </cfRule>
  </conditionalFormatting>
  <conditionalFormatting sqref="I35:R35 I13:R14">
    <cfRule type="expression" dxfId="1" priority="2" stopIfTrue="1">
      <formula>$I$11=$A$57</formula>
    </cfRule>
  </conditionalFormatting>
  <conditionalFormatting sqref="I29:R29">
    <cfRule type="expression" dxfId="0" priority="1" stopIfTrue="1">
      <formula>AND(NOT($V$27),NOT($V$29))</formula>
    </cfRule>
  </conditionalFormatting>
  <dataValidations count="7">
    <dataValidation type="list" allowBlank="1" showInputMessage="1" showErrorMessage="1" sqref="Q11:R11 JM11:JN11 TI11:TJ11 ADE11:ADF11 ANA11:ANB11 AWW11:AWX11 BGS11:BGT11 BQO11:BQP11 CAK11:CAL11 CKG11:CKH11 CUC11:CUD11 DDY11:DDZ11 DNU11:DNV11 DXQ11:DXR11 EHM11:EHN11 ERI11:ERJ11 FBE11:FBF11 FLA11:FLB11 FUW11:FUX11 GES11:GET11 GOO11:GOP11 GYK11:GYL11 HIG11:HIH11 HSC11:HSD11 IBY11:IBZ11 ILU11:ILV11 IVQ11:IVR11 JFM11:JFN11 JPI11:JPJ11 JZE11:JZF11 KJA11:KJB11 KSW11:KSX11 LCS11:LCT11 LMO11:LMP11 LWK11:LWL11 MGG11:MGH11 MQC11:MQD11 MZY11:MZZ11 NJU11:NJV11 NTQ11:NTR11 ODM11:ODN11 ONI11:ONJ11 OXE11:OXF11 PHA11:PHB11 PQW11:PQX11 QAS11:QAT11 QKO11:QKP11 QUK11:QUL11 REG11:REH11 ROC11:ROD11 RXY11:RXZ11 SHU11:SHV11 SRQ11:SRR11 TBM11:TBN11 TLI11:TLJ11 TVE11:TVF11 UFA11:UFB11 UOW11:UOX11 UYS11:UYT11 VIO11:VIP11 VSK11:VSL11 WCG11:WCH11 WMC11:WMD11 WVY11:WVZ11 Q65547:R65547 JM65547:JN65547 TI65547:TJ65547 ADE65547:ADF65547 ANA65547:ANB65547 AWW65547:AWX65547 BGS65547:BGT65547 BQO65547:BQP65547 CAK65547:CAL65547 CKG65547:CKH65547 CUC65547:CUD65547 DDY65547:DDZ65547 DNU65547:DNV65547 DXQ65547:DXR65547 EHM65547:EHN65547 ERI65547:ERJ65547 FBE65547:FBF65547 FLA65547:FLB65547 FUW65547:FUX65547 GES65547:GET65547 GOO65547:GOP65547 GYK65547:GYL65547 HIG65547:HIH65547 HSC65547:HSD65547 IBY65547:IBZ65547 ILU65547:ILV65547 IVQ65547:IVR65547 JFM65547:JFN65547 JPI65547:JPJ65547 JZE65547:JZF65547 KJA65547:KJB65547 KSW65547:KSX65547 LCS65547:LCT65547 LMO65547:LMP65547 LWK65547:LWL65547 MGG65547:MGH65547 MQC65547:MQD65547 MZY65547:MZZ65547 NJU65547:NJV65547 NTQ65547:NTR65547 ODM65547:ODN65547 ONI65547:ONJ65547 OXE65547:OXF65547 PHA65547:PHB65547 PQW65547:PQX65547 QAS65547:QAT65547 QKO65547:QKP65547 QUK65547:QUL65547 REG65547:REH65547 ROC65547:ROD65547 RXY65547:RXZ65547 SHU65547:SHV65547 SRQ65547:SRR65547 TBM65547:TBN65547 TLI65547:TLJ65547 TVE65547:TVF65547 UFA65547:UFB65547 UOW65547:UOX65547 UYS65547:UYT65547 VIO65547:VIP65547 VSK65547:VSL65547 WCG65547:WCH65547 WMC65547:WMD65547 WVY65547:WVZ65547 Q131083:R131083 JM131083:JN131083 TI131083:TJ131083 ADE131083:ADF131083 ANA131083:ANB131083 AWW131083:AWX131083 BGS131083:BGT131083 BQO131083:BQP131083 CAK131083:CAL131083 CKG131083:CKH131083 CUC131083:CUD131083 DDY131083:DDZ131083 DNU131083:DNV131083 DXQ131083:DXR131083 EHM131083:EHN131083 ERI131083:ERJ131083 FBE131083:FBF131083 FLA131083:FLB131083 FUW131083:FUX131083 GES131083:GET131083 GOO131083:GOP131083 GYK131083:GYL131083 HIG131083:HIH131083 HSC131083:HSD131083 IBY131083:IBZ131083 ILU131083:ILV131083 IVQ131083:IVR131083 JFM131083:JFN131083 JPI131083:JPJ131083 JZE131083:JZF131083 KJA131083:KJB131083 KSW131083:KSX131083 LCS131083:LCT131083 LMO131083:LMP131083 LWK131083:LWL131083 MGG131083:MGH131083 MQC131083:MQD131083 MZY131083:MZZ131083 NJU131083:NJV131083 NTQ131083:NTR131083 ODM131083:ODN131083 ONI131083:ONJ131083 OXE131083:OXF131083 PHA131083:PHB131083 PQW131083:PQX131083 QAS131083:QAT131083 QKO131083:QKP131083 QUK131083:QUL131083 REG131083:REH131083 ROC131083:ROD131083 RXY131083:RXZ131083 SHU131083:SHV131083 SRQ131083:SRR131083 TBM131083:TBN131083 TLI131083:TLJ131083 TVE131083:TVF131083 UFA131083:UFB131083 UOW131083:UOX131083 UYS131083:UYT131083 VIO131083:VIP131083 VSK131083:VSL131083 WCG131083:WCH131083 WMC131083:WMD131083 WVY131083:WVZ131083 Q196619:R196619 JM196619:JN196619 TI196619:TJ196619 ADE196619:ADF196619 ANA196619:ANB196619 AWW196619:AWX196619 BGS196619:BGT196619 BQO196619:BQP196619 CAK196619:CAL196619 CKG196619:CKH196619 CUC196619:CUD196619 DDY196619:DDZ196619 DNU196619:DNV196619 DXQ196619:DXR196619 EHM196619:EHN196619 ERI196619:ERJ196619 FBE196619:FBF196619 FLA196619:FLB196619 FUW196619:FUX196619 GES196619:GET196619 GOO196619:GOP196619 GYK196619:GYL196619 HIG196619:HIH196619 HSC196619:HSD196619 IBY196619:IBZ196619 ILU196619:ILV196619 IVQ196619:IVR196619 JFM196619:JFN196619 JPI196619:JPJ196619 JZE196619:JZF196619 KJA196619:KJB196619 KSW196619:KSX196619 LCS196619:LCT196619 LMO196619:LMP196619 LWK196619:LWL196619 MGG196619:MGH196619 MQC196619:MQD196619 MZY196619:MZZ196619 NJU196619:NJV196619 NTQ196619:NTR196619 ODM196619:ODN196619 ONI196619:ONJ196619 OXE196619:OXF196619 PHA196619:PHB196619 PQW196619:PQX196619 QAS196619:QAT196619 QKO196619:QKP196619 QUK196619:QUL196619 REG196619:REH196619 ROC196619:ROD196619 RXY196619:RXZ196619 SHU196619:SHV196619 SRQ196619:SRR196619 TBM196619:TBN196619 TLI196619:TLJ196619 TVE196619:TVF196619 UFA196619:UFB196619 UOW196619:UOX196619 UYS196619:UYT196619 VIO196619:VIP196619 VSK196619:VSL196619 WCG196619:WCH196619 WMC196619:WMD196619 WVY196619:WVZ196619 Q262155:R262155 JM262155:JN262155 TI262155:TJ262155 ADE262155:ADF262155 ANA262155:ANB262155 AWW262155:AWX262155 BGS262155:BGT262155 BQO262155:BQP262155 CAK262155:CAL262155 CKG262155:CKH262155 CUC262155:CUD262155 DDY262155:DDZ262155 DNU262155:DNV262155 DXQ262155:DXR262155 EHM262155:EHN262155 ERI262155:ERJ262155 FBE262155:FBF262155 FLA262155:FLB262155 FUW262155:FUX262155 GES262155:GET262155 GOO262155:GOP262155 GYK262155:GYL262155 HIG262155:HIH262155 HSC262155:HSD262155 IBY262155:IBZ262155 ILU262155:ILV262155 IVQ262155:IVR262155 JFM262155:JFN262155 JPI262155:JPJ262155 JZE262155:JZF262155 KJA262155:KJB262155 KSW262155:KSX262155 LCS262155:LCT262155 LMO262155:LMP262155 LWK262155:LWL262155 MGG262155:MGH262155 MQC262155:MQD262155 MZY262155:MZZ262155 NJU262155:NJV262155 NTQ262155:NTR262155 ODM262155:ODN262155 ONI262155:ONJ262155 OXE262155:OXF262155 PHA262155:PHB262155 PQW262155:PQX262155 QAS262155:QAT262155 QKO262155:QKP262155 QUK262155:QUL262155 REG262155:REH262155 ROC262155:ROD262155 RXY262155:RXZ262155 SHU262155:SHV262155 SRQ262155:SRR262155 TBM262155:TBN262155 TLI262155:TLJ262155 TVE262155:TVF262155 UFA262155:UFB262155 UOW262155:UOX262155 UYS262155:UYT262155 VIO262155:VIP262155 VSK262155:VSL262155 WCG262155:WCH262155 WMC262155:WMD262155 WVY262155:WVZ262155 Q327691:R327691 JM327691:JN327691 TI327691:TJ327691 ADE327691:ADF327691 ANA327691:ANB327691 AWW327691:AWX327691 BGS327691:BGT327691 BQO327691:BQP327691 CAK327691:CAL327691 CKG327691:CKH327691 CUC327691:CUD327691 DDY327691:DDZ327691 DNU327691:DNV327691 DXQ327691:DXR327691 EHM327691:EHN327691 ERI327691:ERJ327691 FBE327691:FBF327691 FLA327691:FLB327691 FUW327691:FUX327691 GES327691:GET327691 GOO327691:GOP327691 GYK327691:GYL327691 HIG327691:HIH327691 HSC327691:HSD327691 IBY327691:IBZ327691 ILU327691:ILV327691 IVQ327691:IVR327691 JFM327691:JFN327691 JPI327691:JPJ327691 JZE327691:JZF327691 KJA327691:KJB327691 KSW327691:KSX327691 LCS327691:LCT327691 LMO327691:LMP327691 LWK327691:LWL327691 MGG327691:MGH327691 MQC327691:MQD327691 MZY327691:MZZ327691 NJU327691:NJV327691 NTQ327691:NTR327691 ODM327691:ODN327691 ONI327691:ONJ327691 OXE327691:OXF327691 PHA327691:PHB327691 PQW327691:PQX327691 QAS327691:QAT327691 QKO327691:QKP327691 QUK327691:QUL327691 REG327691:REH327691 ROC327691:ROD327691 RXY327691:RXZ327691 SHU327691:SHV327691 SRQ327691:SRR327691 TBM327691:TBN327691 TLI327691:TLJ327691 TVE327691:TVF327691 UFA327691:UFB327691 UOW327691:UOX327691 UYS327691:UYT327691 VIO327691:VIP327691 VSK327691:VSL327691 WCG327691:WCH327691 WMC327691:WMD327691 WVY327691:WVZ327691 Q393227:R393227 JM393227:JN393227 TI393227:TJ393227 ADE393227:ADF393227 ANA393227:ANB393227 AWW393227:AWX393227 BGS393227:BGT393227 BQO393227:BQP393227 CAK393227:CAL393227 CKG393227:CKH393227 CUC393227:CUD393227 DDY393227:DDZ393227 DNU393227:DNV393227 DXQ393227:DXR393227 EHM393227:EHN393227 ERI393227:ERJ393227 FBE393227:FBF393227 FLA393227:FLB393227 FUW393227:FUX393227 GES393227:GET393227 GOO393227:GOP393227 GYK393227:GYL393227 HIG393227:HIH393227 HSC393227:HSD393227 IBY393227:IBZ393227 ILU393227:ILV393227 IVQ393227:IVR393227 JFM393227:JFN393227 JPI393227:JPJ393227 JZE393227:JZF393227 KJA393227:KJB393227 KSW393227:KSX393227 LCS393227:LCT393227 LMO393227:LMP393227 LWK393227:LWL393227 MGG393227:MGH393227 MQC393227:MQD393227 MZY393227:MZZ393227 NJU393227:NJV393227 NTQ393227:NTR393227 ODM393227:ODN393227 ONI393227:ONJ393227 OXE393227:OXF393227 PHA393227:PHB393227 PQW393227:PQX393227 QAS393227:QAT393227 QKO393227:QKP393227 QUK393227:QUL393227 REG393227:REH393227 ROC393227:ROD393227 RXY393227:RXZ393227 SHU393227:SHV393227 SRQ393227:SRR393227 TBM393227:TBN393227 TLI393227:TLJ393227 TVE393227:TVF393227 UFA393227:UFB393227 UOW393227:UOX393227 UYS393227:UYT393227 VIO393227:VIP393227 VSK393227:VSL393227 WCG393227:WCH393227 WMC393227:WMD393227 WVY393227:WVZ393227 Q458763:R458763 JM458763:JN458763 TI458763:TJ458763 ADE458763:ADF458763 ANA458763:ANB458763 AWW458763:AWX458763 BGS458763:BGT458763 BQO458763:BQP458763 CAK458763:CAL458763 CKG458763:CKH458763 CUC458763:CUD458763 DDY458763:DDZ458763 DNU458763:DNV458763 DXQ458763:DXR458763 EHM458763:EHN458763 ERI458763:ERJ458763 FBE458763:FBF458763 FLA458763:FLB458763 FUW458763:FUX458763 GES458763:GET458763 GOO458763:GOP458763 GYK458763:GYL458763 HIG458763:HIH458763 HSC458763:HSD458763 IBY458763:IBZ458763 ILU458763:ILV458763 IVQ458763:IVR458763 JFM458763:JFN458763 JPI458763:JPJ458763 JZE458763:JZF458763 KJA458763:KJB458763 KSW458763:KSX458763 LCS458763:LCT458763 LMO458763:LMP458763 LWK458763:LWL458763 MGG458763:MGH458763 MQC458763:MQD458763 MZY458763:MZZ458763 NJU458763:NJV458763 NTQ458763:NTR458763 ODM458763:ODN458763 ONI458763:ONJ458763 OXE458763:OXF458763 PHA458763:PHB458763 PQW458763:PQX458763 QAS458763:QAT458763 QKO458763:QKP458763 QUK458763:QUL458763 REG458763:REH458763 ROC458763:ROD458763 RXY458763:RXZ458763 SHU458763:SHV458763 SRQ458763:SRR458763 TBM458763:TBN458763 TLI458763:TLJ458763 TVE458763:TVF458763 UFA458763:UFB458763 UOW458763:UOX458763 UYS458763:UYT458763 VIO458763:VIP458763 VSK458763:VSL458763 WCG458763:WCH458763 WMC458763:WMD458763 WVY458763:WVZ458763 Q524299:R524299 JM524299:JN524299 TI524299:TJ524299 ADE524299:ADF524299 ANA524299:ANB524299 AWW524299:AWX524299 BGS524299:BGT524299 BQO524299:BQP524299 CAK524299:CAL524299 CKG524299:CKH524299 CUC524299:CUD524299 DDY524299:DDZ524299 DNU524299:DNV524299 DXQ524299:DXR524299 EHM524299:EHN524299 ERI524299:ERJ524299 FBE524299:FBF524299 FLA524299:FLB524299 FUW524299:FUX524299 GES524299:GET524299 GOO524299:GOP524299 GYK524299:GYL524299 HIG524299:HIH524299 HSC524299:HSD524299 IBY524299:IBZ524299 ILU524299:ILV524299 IVQ524299:IVR524299 JFM524299:JFN524299 JPI524299:JPJ524299 JZE524299:JZF524299 KJA524299:KJB524299 KSW524299:KSX524299 LCS524299:LCT524299 LMO524299:LMP524299 LWK524299:LWL524299 MGG524299:MGH524299 MQC524299:MQD524299 MZY524299:MZZ524299 NJU524299:NJV524299 NTQ524299:NTR524299 ODM524299:ODN524299 ONI524299:ONJ524299 OXE524299:OXF524299 PHA524299:PHB524299 PQW524299:PQX524299 QAS524299:QAT524299 QKO524299:QKP524299 QUK524299:QUL524299 REG524299:REH524299 ROC524299:ROD524299 RXY524299:RXZ524299 SHU524299:SHV524299 SRQ524299:SRR524299 TBM524299:TBN524299 TLI524299:TLJ524299 TVE524299:TVF524299 UFA524299:UFB524299 UOW524299:UOX524299 UYS524299:UYT524299 VIO524299:VIP524299 VSK524299:VSL524299 WCG524299:WCH524299 WMC524299:WMD524299 WVY524299:WVZ524299 Q589835:R589835 JM589835:JN589835 TI589835:TJ589835 ADE589835:ADF589835 ANA589835:ANB589835 AWW589835:AWX589835 BGS589835:BGT589835 BQO589835:BQP589835 CAK589835:CAL589835 CKG589835:CKH589835 CUC589835:CUD589835 DDY589835:DDZ589835 DNU589835:DNV589835 DXQ589835:DXR589835 EHM589835:EHN589835 ERI589835:ERJ589835 FBE589835:FBF589835 FLA589835:FLB589835 FUW589835:FUX589835 GES589835:GET589835 GOO589835:GOP589835 GYK589835:GYL589835 HIG589835:HIH589835 HSC589835:HSD589835 IBY589835:IBZ589835 ILU589835:ILV589835 IVQ589835:IVR589835 JFM589835:JFN589835 JPI589835:JPJ589835 JZE589835:JZF589835 KJA589835:KJB589835 KSW589835:KSX589835 LCS589835:LCT589835 LMO589835:LMP589835 LWK589835:LWL589835 MGG589835:MGH589835 MQC589835:MQD589835 MZY589835:MZZ589835 NJU589835:NJV589835 NTQ589835:NTR589835 ODM589835:ODN589835 ONI589835:ONJ589835 OXE589835:OXF589835 PHA589835:PHB589835 PQW589835:PQX589835 QAS589835:QAT589835 QKO589835:QKP589835 QUK589835:QUL589835 REG589835:REH589835 ROC589835:ROD589835 RXY589835:RXZ589835 SHU589835:SHV589835 SRQ589835:SRR589835 TBM589835:TBN589835 TLI589835:TLJ589835 TVE589835:TVF589835 UFA589835:UFB589835 UOW589835:UOX589835 UYS589835:UYT589835 VIO589835:VIP589835 VSK589835:VSL589835 WCG589835:WCH589835 WMC589835:WMD589835 WVY589835:WVZ589835 Q655371:R655371 JM655371:JN655371 TI655371:TJ655371 ADE655371:ADF655371 ANA655371:ANB655371 AWW655371:AWX655371 BGS655371:BGT655371 BQO655371:BQP655371 CAK655371:CAL655371 CKG655371:CKH655371 CUC655371:CUD655371 DDY655371:DDZ655371 DNU655371:DNV655371 DXQ655371:DXR655371 EHM655371:EHN655371 ERI655371:ERJ655371 FBE655371:FBF655371 FLA655371:FLB655371 FUW655371:FUX655371 GES655371:GET655371 GOO655371:GOP655371 GYK655371:GYL655371 HIG655371:HIH655371 HSC655371:HSD655371 IBY655371:IBZ655371 ILU655371:ILV655371 IVQ655371:IVR655371 JFM655371:JFN655371 JPI655371:JPJ655371 JZE655371:JZF655371 KJA655371:KJB655371 KSW655371:KSX655371 LCS655371:LCT655371 LMO655371:LMP655371 LWK655371:LWL655371 MGG655371:MGH655371 MQC655371:MQD655371 MZY655371:MZZ655371 NJU655371:NJV655371 NTQ655371:NTR655371 ODM655371:ODN655371 ONI655371:ONJ655371 OXE655371:OXF655371 PHA655371:PHB655371 PQW655371:PQX655371 QAS655371:QAT655371 QKO655371:QKP655371 QUK655371:QUL655371 REG655371:REH655371 ROC655371:ROD655371 RXY655371:RXZ655371 SHU655371:SHV655371 SRQ655371:SRR655371 TBM655371:TBN655371 TLI655371:TLJ655371 TVE655371:TVF655371 UFA655371:UFB655371 UOW655371:UOX655371 UYS655371:UYT655371 VIO655371:VIP655371 VSK655371:VSL655371 WCG655371:WCH655371 WMC655371:WMD655371 WVY655371:WVZ655371 Q720907:R720907 JM720907:JN720907 TI720907:TJ720907 ADE720907:ADF720907 ANA720907:ANB720907 AWW720907:AWX720907 BGS720907:BGT720907 BQO720907:BQP720907 CAK720907:CAL720907 CKG720907:CKH720907 CUC720907:CUD720907 DDY720907:DDZ720907 DNU720907:DNV720907 DXQ720907:DXR720907 EHM720907:EHN720907 ERI720907:ERJ720907 FBE720907:FBF720907 FLA720907:FLB720907 FUW720907:FUX720907 GES720907:GET720907 GOO720907:GOP720907 GYK720907:GYL720907 HIG720907:HIH720907 HSC720907:HSD720907 IBY720907:IBZ720907 ILU720907:ILV720907 IVQ720907:IVR720907 JFM720907:JFN720907 JPI720907:JPJ720907 JZE720907:JZF720907 KJA720907:KJB720907 KSW720907:KSX720907 LCS720907:LCT720907 LMO720907:LMP720907 LWK720907:LWL720907 MGG720907:MGH720907 MQC720907:MQD720907 MZY720907:MZZ720907 NJU720907:NJV720907 NTQ720907:NTR720907 ODM720907:ODN720907 ONI720907:ONJ720907 OXE720907:OXF720907 PHA720907:PHB720907 PQW720907:PQX720907 QAS720907:QAT720907 QKO720907:QKP720907 QUK720907:QUL720907 REG720907:REH720907 ROC720907:ROD720907 RXY720907:RXZ720907 SHU720907:SHV720907 SRQ720907:SRR720907 TBM720907:TBN720907 TLI720907:TLJ720907 TVE720907:TVF720907 UFA720907:UFB720907 UOW720907:UOX720907 UYS720907:UYT720907 VIO720907:VIP720907 VSK720907:VSL720907 WCG720907:WCH720907 WMC720907:WMD720907 WVY720907:WVZ720907 Q786443:R786443 JM786443:JN786443 TI786443:TJ786443 ADE786443:ADF786443 ANA786443:ANB786443 AWW786443:AWX786443 BGS786443:BGT786443 BQO786443:BQP786443 CAK786443:CAL786443 CKG786443:CKH786443 CUC786443:CUD786443 DDY786443:DDZ786443 DNU786443:DNV786443 DXQ786443:DXR786443 EHM786443:EHN786443 ERI786443:ERJ786443 FBE786443:FBF786443 FLA786443:FLB786443 FUW786443:FUX786443 GES786443:GET786443 GOO786443:GOP786443 GYK786443:GYL786443 HIG786443:HIH786443 HSC786443:HSD786443 IBY786443:IBZ786443 ILU786443:ILV786443 IVQ786443:IVR786443 JFM786443:JFN786443 JPI786443:JPJ786443 JZE786443:JZF786443 KJA786443:KJB786443 KSW786443:KSX786443 LCS786443:LCT786443 LMO786443:LMP786443 LWK786443:LWL786443 MGG786443:MGH786443 MQC786443:MQD786443 MZY786443:MZZ786443 NJU786443:NJV786443 NTQ786443:NTR786443 ODM786443:ODN786443 ONI786443:ONJ786443 OXE786443:OXF786443 PHA786443:PHB786443 PQW786443:PQX786443 QAS786443:QAT786443 QKO786443:QKP786443 QUK786443:QUL786443 REG786443:REH786443 ROC786443:ROD786443 RXY786443:RXZ786443 SHU786443:SHV786443 SRQ786443:SRR786443 TBM786443:TBN786443 TLI786443:TLJ786443 TVE786443:TVF786443 UFA786443:UFB786443 UOW786443:UOX786443 UYS786443:UYT786443 VIO786443:VIP786443 VSK786443:VSL786443 WCG786443:WCH786443 WMC786443:WMD786443 WVY786443:WVZ786443 Q851979:R851979 JM851979:JN851979 TI851979:TJ851979 ADE851979:ADF851979 ANA851979:ANB851979 AWW851979:AWX851979 BGS851979:BGT851979 BQO851979:BQP851979 CAK851979:CAL851979 CKG851979:CKH851979 CUC851979:CUD851979 DDY851979:DDZ851979 DNU851979:DNV851979 DXQ851979:DXR851979 EHM851979:EHN851979 ERI851979:ERJ851979 FBE851979:FBF851979 FLA851979:FLB851979 FUW851979:FUX851979 GES851979:GET851979 GOO851979:GOP851979 GYK851979:GYL851979 HIG851979:HIH851979 HSC851979:HSD851979 IBY851979:IBZ851979 ILU851979:ILV851979 IVQ851979:IVR851979 JFM851979:JFN851979 JPI851979:JPJ851979 JZE851979:JZF851979 KJA851979:KJB851979 KSW851979:KSX851979 LCS851979:LCT851979 LMO851979:LMP851979 LWK851979:LWL851979 MGG851979:MGH851979 MQC851979:MQD851979 MZY851979:MZZ851979 NJU851979:NJV851979 NTQ851979:NTR851979 ODM851979:ODN851979 ONI851979:ONJ851979 OXE851979:OXF851979 PHA851979:PHB851979 PQW851979:PQX851979 QAS851979:QAT851979 QKO851979:QKP851979 QUK851979:QUL851979 REG851979:REH851979 ROC851979:ROD851979 RXY851979:RXZ851979 SHU851979:SHV851979 SRQ851979:SRR851979 TBM851979:TBN851979 TLI851979:TLJ851979 TVE851979:TVF851979 UFA851979:UFB851979 UOW851979:UOX851979 UYS851979:UYT851979 VIO851979:VIP851979 VSK851979:VSL851979 WCG851979:WCH851979 WMC851979:WMD851979 WVY851979:WVZ851979 Q917515:R917515 JM917515:JN917515 TI917515:TJ917515 ADE917515:ADF917515 ANA917515:ANB917515 AWW917515:AWX917515 BGS917515:BGT917515 BQO917515:BQP917515 CAK917515:CAL917515 CKG917515:CKH917515 CUC917515:CUD917515 DDY917515:DDZ917515 DNU917515:DNV917515 DXQ917515:DXR917515 EHM917515:EHN917515 ERI917515:ERJ917515 FBE917515:FBF917515 FLA917515:FLB917515 FUW917515:FUX917515 GES917515:GET917515 GOO917515:GOP917515 GYK917515:GYL917515 HIG917515:HIH917515 HSC917515:HSD917515 IBY917515:IBZ917515 ILU917515:ILV917515 IVQ917515:IVR917515 JFM917515:JFN917515 JPI917515:JPJ917515 JZE917515:JZF917515 KJA917515:KJB917515 KSW917515:KSX917515 LCS917515:LCT917515 LMO917515:LMP917515 LWK917515:LWL917515 MGG917515:MGH917515 MQC917515:MQD917515 MZY917515:MZZ917515 NJU917515:NJV917515 NTQ917515:NTR917515 ODM917515:ODN917515 ONI917515:ONJ917515 OXE917515:OXF917515 PHA917515:PHB917515 PQW917515:PQX917515 QAS917515:QAT917515 QKO917515:QKP917515 QUK917515:QUL917515 REG917515:REH917515 ROC917515:ROD917515 RXY917515:RXZ917515 SHU917515:SHV917515 SRQ917515:SRR917515 TBM917515:TBN917515 TLI917515:TLJ917515 TVE917515:TVF917515 UFA917515:UFB917515 UOW917515:UOX917515 UYS917515:UYT917515 VIO917515:VIP917515 VSK917515:VSL917515 WCG917515:WCH917515 WMC917515:WMD917515 WVY917515:WVZ917515 Q983051:R983051 JM983051:JN983051 TI983051:TJ983051 ADE983051:ADF983051 ANA983051:ANB983051 AWW983051:AWX983051 BGS983051:BGT983051 BQO983051:BQP983051 CAK983051:CAL983051 CKG983051:CKH983051 CUC983051:CUD983051 DDY983051:DDZ983051 DNU983051:DNV983051 DXQ983051:DXR983051 EHM983051:EHN983051 ERI983051:ERJ983051 FBE983051:FBF983051 FLA983051:FLB983051 FUW983051:FUX983051 GES983051:GET983051 GOO983051:GOP983051 GYK983051:GYL983051 HIG983051:HIH983051 HSC983051:HSD983051 IBY983051:IBZ983051 ILU983051:ILV983051 IVQ983051:IVR983051 JFM983051:JFN983051 JPI983051:JPJ983051 JZE983051:JZF983051 KJA983051:KJB983051 KSW983051:KSX983051 LCS983051:LCT983051 LMO983051:LMP983051 LWK983051:LWL983051 MGG983051:MGH983051 MQC983051:MQD983051 MZY983051:MZZ983051 NJU983051:NJV983051 NTQ983051:NTR983051 ODM983051:ODN983051 ONI983051:ONJ983051 OXE983051:OXF983051 PHA983051:PHB983051 PQW983051:PQX983051 QAS983051:QAT983051 QKO983051:QKP983051 QUK983051:QUL983051 REG983051:REH983051 ROC983051:ROD983051 RXY983051:RXZ983051 SHU983051:SHV983051 SRQ983051:SRR983051 TBM983051:TBN983051 TLI983051:TLJ983051 TVE983051:TVF983051 UFA983051:UFB983051 UOW983051:UOX983051 UYS983051:UYT983051 VIO983051:VIP983051 VSK983051:VSL983051 WCG983051:WCH983051 WMC983051:WMD983051 WVY983051:WVZ983051">
      <formula1>"Sim,Não"</formula1>
    </dataValidation>
    <dataValidation type="list" allowBlank="1" showInputMessage="1" showErrorMessage="1" sqref="I11:P11 JE11:JL11 TA11:TH11 ACW11:ADD11 AMS11:AMZ11 AWO11:AWV11 BGK11:BGR11 BQG11:BQN11 CAC11:CAJ11 CJY11:CKF11 CTU11:CUB11 DDQ11:DDX11 DNM11:DNT11 DXI11:DXP11 EHE11:EHL11 ERA11:ERH11 FAW11:FBD11 FKS11:FKZ11 FUO11:FUV11 GEK11:GER11 GOG11:GON11 GYC11:GYJ11 HHY11:HIF11 HRU11:HSB11 IBQ11:IBX11 ILM11:ILT11 IVI11:IVP11 JFE11:JFL11 JPA11:JPH11 JYW11:JZD11 KIS11:KIZ11 KSO11:KSV11 LCK11:LCR11 LMG11:LMN11 LWC11:LWJ11 MFY11:MGF11 MPU11:MQB11 MZQ11:MZX11 NJM11:NJT11 NTI11:NTP11 ODE11:ODL11 ONA11:ONH11 OWW11:OXD11 PGS11:PGZ11 PQO11:PQV11 QAK11:QAR11 QKG11:QKN11 QUC11:QUJ11 RDY11:REF11 RNU11:ROB11 RXQ11:RXX11 SHM11:SHT11 SRI11:SRP11 TBE11:TBL11 TLA11:TLH11 TUW11:TVD11 UES11:UEZ11 UOO11:UOV11 UYK11:UYR11 VIG11:VIN11 VSC11:VSJ11 WBY11:WCF11 WLU11:WMB11 WVQ11:WVX11 I65547:P65547 JE65547:JL65547 TA65547:TH65547 ACW65547:ADD65547 AMS65547:AMZ65547 AWO65547:AWV65547 BGK65547:BGR65547 BQG65547:BQN65547 CAC65547:CAJ65547 CJY65547:CKF65547 CTU65547:CUB65547 DDQ65547:DDX65547 DNM65547:DNT65547 DXI65547:DXP65547 EHE65547:EHL65547 ERA65547:ERH65547 FAW65547:FBD65547 FKS65547:FKZ65547 FUO65547:FUV65547 GEK65547:GER65547 GOG65547:GON65547 GYC65547:GYJ65547 HHY65547:HIF65547 HRU65547:HSB65547 IBQ65547:IBX65547 ILM65547:ILT65547 IVI65547:IVP65547 JFE65547:JFL65547 JPA65547:JPH65547 JYW65547:JZD65547 KIS65547:KIZ65547 KSO65547:KSV65547 LCK65547:LCR65547 LMG65547:LMN65547 LWC65547:LWJ65547 MFY65547:MGF65547 MPU65547:MQB65547 MZQ65547:MZX65547 NJM65547:NJT65547 NTI65547:NTP65547 ODE65547:ODL65547 ONA65547:ONH65547 OWW65547:OXD65547 PGS65547:PGZ65547 PQO65547:PQV65547 QAK65547:QAR65547 QKG65547:QKN65547 QUC65547:QUJ65547 RDY65547:REF65547 RNU65547:ROB65547 RXQ65547:RXX65547 SHM65547:SHT65547 SRI65547:SRP65547 TBE65547:TBL65547 TLA65547:TLH65547 TUW65547:TVD65547 UES65547:UEZ65547 UOO65547:UOV65547 UYK65547:UYR65547 VIG65547:VIN65547 VSC65547:VSJ65547 WBY65547:WCF65547 WLU65547:WMB65547 WVQ65547:WVX65547 I131083:P131083 JE131083:JL131083 TA131083:TH131083 ACW131083:ADD131083 AMS131083:AMZ131083 AWO131083:AWV131083 BGK131083:BGR131083 BQG131083:BQN131083 CAC131083:CAJ131083 CJY131083:CKF131083 CTU131083:CUB131083 DDQ131083:DDX131083 DNM131083:DNT131083 DXI131083:DXP131083 EHE131083:EHL131083 ERA131083:ERH131083 FAW131083:FBD131083 FKS131083:FKZ131083 FUO131083:FUV131083 GEK131083:GER131083 GOG131083:GON131083 GYC131083:GYJ131083 HHY131083:HIF131083 HRU131083:HSB131083 IBQ131083:IBX131083 ILM131083:ILT131083 IVI131083:IVP131083 JFE131083:JFL131083 JPA131083:JPH131083 JYW131083:JZD131083 KIS131083:KIZ131083 KSO131083:KSV131083 LCK131083:LCR131083 LMG131083:LMN131083 LWC131083:LWJ131083 MFY131083:MGF131083 MPU131083:MQB131083 MZQ131083:MZX131083 NJM131083:NJT131083 NTI131083:NTP131083 ODE131083:ODL131083 ONA131083:ONH131083 OWW131083:OXD131083 PGS131083:PGZ131083 PQO131083:PQV131083 QAK131083:QAR131083 QKG131083:QKN131083 QUC131083:QUJ131083 RDY131083:REF131083 RNU131083:ROB131083 RXQ131083:RXX131083 SHM131083:SHT131083 SRI131083:SRP131083 TBE131083:TBL131083 TLA131083:TLH131083 TUW131083:TVD131083 UES131083:UEZ131083 UOO131083:UOV131083 UYK131083:UYR131083 VIG131083:VIN131083 VSC131083:VSJ131083 WBY131083:WCF131083 WLU131083:WMB131083 WVQ131083:WVX131083 I196619:P196619 JE196619:JL196619 TA196619:TH196619 ACW196619:ADD196619 AMS196619:AMZ196619 AWO196619:AWV196619 BGK196619:BGR196619 BQG196619:BQN196619 CAC196619:CAJ196619 CJY196619:CKF196619 CTU196619:CUB196619 DDQ196619:DDX196619 DNM196619:DNT196619 DXI196619:DXP196619 EHE196619:EHL196619 ERA196619:ERH196619 FAW196619:FBD196619 FKS196619:FKZ196619 FUO196619:FUV196619 GEK196619:GER196619 GOG196619:GON196619 GYC196619:GYJ196619 HHY196619:HIF196619 HRU196619:HSB196619 IBQ196619:IBX196619 ILM196619:ILT196619 IVI196619:IVP196619 JFE196619:JFL196619 JPA196619:JPH196619 JYW196619:JZD196619 KIS196619:KIZ196619 KSO196619:KSV196619 LCK196619:LCR196619 LMG196619:LMN196619 LWC196619:LWJ196619 MFY196619:MGF196619 MPU196619:MQB196619 MZQ196619:MZX196619 NJM196619:NJT196619 NTI196619:NTP196619 ODE196619:ODL196619 ONA196619:ONH196619 OWW196619:OXD196619 PGS196619:PGZ196619 PQO196619:PQV196619 QAK196619:QAR196619 QKG196619:QKN196619 QUC196619:QUJ196619 RDY196619:REF196619 RNU196619:ROB196619 RXQ196619:RXX196619 SHM196619:SHT196619 SRI196619:SRP196619 TBE196619:TBL196619 TLA196619:TLH196619 TUW196619:TVD196619 UES196619:UEZ196619 UOO196619:UOV196619 UYK196619:UYR196619 VIG196619:VIN196619 VSC196619:VSJ196619 WBY196619:WCF196619 WLU196619:WMB196619 WVQ196619:WVX196619 I262155:P262155 JE262155:JL262155 TA262155:TH262155 ACW262155:ADD262155 AMS262155:AMZ262155 AWO262155:AWV262155 BGK262155:BGR262155 BQG262155:BQN262155 CAC262155:CAJ262155 CJY262155:CKF262155 CTU262155:CUB262155 DDQ262155:DDX262155 DNM262155:DNT262155 DXI262155:DXP262155 EHE262155:EHL262155 ERA262155:ERH262155 FAW262155:FBD262155 FKS262155:FKZ262155 FUO262155:FUV262155 GEK262155:GER262155 GOG262155:GON262155 GYC262155:GYJ262155 HHY262155:HIF262155 HRU262155:HSB262155 IBQ262155:IBX262155 ILM262155:ILT262155 IVI262155:IVP262155 JFE262155:JFL262155 JPA262155:JPH262155 JYW262155:JZD262155 KIS262155:KIZ262155 KSO262155:KSV262155 LCK262155:LCR262155 LMG262155:LMN262155 LWC262155:LWJ262155 MFY262155:MGF262155 MPU262155:MQB262155 MZQ262155:MZX262155 NJM262155:NJT262155 NTI262155:NTP262155 ODE262155:ODL262155 ONA262155:ONH262155 OWW262155:OXD262155 PGS262155:PGZ262155 PQO262155:PQV262155 QAK262155:QAR262155 QKG262155:QKN262155 QUC262155:QUJ262155 RDY262155:REF262155 RNU262155:ROB262155 RXQ262155:RXX262155 SHM262155:SHT262155 SRI262155:SRP262155 TBE262155:TBL262155 TLA262155:TLH262155 TUW262155:TVD262155 UES262155:UEZ262155 UOO262155:UOV262155 UYK262155:UYR262155 VIG262155:VIN262155 VSC262155:VSJ262155 WBY262155:WCF262155 WLU262155:WMB262155 WVQ262155:WVX262155 I327691:P327691 JE327691:JL327691 TA327691:TH327691 ACW327691:ADD327691 AMS327691:AMZ327691 AWO327691:AWV327691 BGK327691:BGR327691 BQG327691:BQN327691 CAC327691:CAJ327691 CJY327691:CKF327691 CTU327691:CUB327691 DDQ327691:DDX327691 DNM327691:DNT327691 DXI327691:DXP327691 EHE327691:EHL327691 ERA327691:ERH327691 FAW327691:FBD327691 FKS327691:FKZ327691 FUO327691:FUV327691 GEK327691:GER327691 GOG327691:GON327691 GYC327691:GYJ327691 HHY327691:HIF327691 HRU327691:HSB327691 IBQ327691:IBX327691 ILM327691:ILT327691 IVI327691:IVP327691 JFE327691:JFL327691 JPA327691:JPH327691 JYW327691:JZD327691 KIS327691:KIZ327691 KSO327691:KSV327691 LCK327691:LCR327691 LMG327691:LMN327691 LWC327691:LWJ327691 MFY327691:MGF327691 MPU327691:MQB327691 MZQ327691:MZX327691 NJM327691:NJT327691 NTI327691:NTP327691 ODE327691:ODL327691 ONA327691:ONH327691 OWW327691:OXD327691 PGS327691:PGZ327691 PQO327691:PQV327691 QAK327691:QAR327691 QKG327691:QKN327691 QUC327691:QUJ327691 RDY327691:REF327691 RNU327691:ROB327691 RXQ327691:RXX327691 SHM327691:SHT327691 SRI327691:SRP327691 TBE327691:TBL327691 TLA327691:TLH327691 TUW327691:TVD327691 UES327691:UEZ327691 UOO327691:UOV327691 UYK327691:UYR327691 VIG327691:VIN327691 VSC327691:VSJ327691 WBY327691:WCF327691 WLU327691:WMB327691 WVQ327691:WVX327691 I393227:P393227 JE393227:JL393227 TA393227:TH393227 ACW393227:ADD393227 AMS393227:AMZ393227 AWO393227:AWV393227 BGK393227:BGR393227 BQG393227:BQN393227 CAC393227:CAJ393227 CJY393227:CKF393227 CTU393227:CUB393227 DDQ393227:DDX393227 DNM393227:DNT393227 DXI393227:DXP393227 EHE393227:EHL393227 ERA393227:ERH393227 FAW393227:FBD393227 FKS393227:FKZ393227 FUO393227:FUV393227 GEK393227:GER393227 GOG393227:GON393227 GYC393227:GYJ393227 HHY393227:HIF393227 HRU393227:HSB393227 IBQ393227:IBX393227 ILM393227:ILT393227 IVI393227:IVP393227 JFE393227:JFL393227 JPA393227:JPH393227 JYW393227:JZD393227 KIS393227:KIZ393227 KSO393227:KSV393227 LCK393227:LCR393227 LMG393227:LMN393227 LWC393227:LWJ393227 MFY393227:MGF393227 MPU393227:MQB393227 MZQ393227:MZX393227 NJM393227:NJT393227 NTI393227:NTP393227 ODE393227:ODL393227 ONA393227:ONH393227 OWW393227:OXD393227 PGS393227:PGZ393227 PQO393227:PQV393227 QAK393227:QAR393227 QKG393227:QKN393227 QUC393227:QUJ393227 RDY393227:REF393227 RNU393227:ROB393227 RXQ393227:RXX393227 SHM393227:SHT393227 SRI393227:SRP393227 TBE393227:TBL393227 TLA393227:TLH393227 TUW393227:TVD393227 UES393227:UEZ393227 UOO393227:UOV393227 UYK393227:UYR393227 VIG393227:VIN393227 VSC393227:VSJ393227 WBY393227:WCF393227 WLU393227:WMB393227 WVQ393227:WVX393227 I458763:P458763 JE458763:JL458763 TA458763:TH458763 ACW458763:ADD458763 AMS458763:AMZ458763 AWO458763:AWV458763 BGK458763:BGR458763 BQG458763:BQN458763 CAC458763:CAJ458763 CJY458763:CKF458763 CTU458763:CUB458763 DDQ458763:DDX458763 DNM458763:DNT458763 DXI458763:DXP458763 EHE458763:EHL458763 ERA458763:ERH458763 FAW458763:FBD458763 FKS458763:FKZ458763 FUO458763:FUV458763 GEK458763:GER458763 GOG458763:GON458763 GYC458763:GYJ458763 HHY458763:HIF458763 HRU458763:HSB458763 IBQ458763:IBX458763 ILM458763:ILT458763 IVI458763:IVP458763 JFE458763:JFL458763 JPA458763:JPH458763 JYW458763:JZD458763 KIS458763:KIZ458763 KSO458763:KSV458763 LCK458763:LCR458763 LMG458763:LMN458763 LWC458763:LWJ458763 MFY458763:MGF458763 MPU458763:MQB458763 MZQ458763:MZX458763 NJM458763:NJT458763 NTI458763:NTP458763 ODE458763:ODL458763 ONA458763:ONH458763 OWW458763:OXD458763 PGS458763:PGZ458763 PQO458763:PQV458763 QAK458763:QAR458763 QKG458763:QKN458763 QUC458763:QUJ458763 RDY458763:REF458763 RNU458763:ROB458763 RXQ458763:RXX458763 SHM458763:SHT458763 SRI458763:SRP458763 TBE458763:TBL458763 TLA458763:TLH458763 TUW458763:TVD458763 UES458763:UEZ458763 UOO458763:UOV458763 UYK458763:UYR458763 VIG458763:VIN458763 VSC458763:VSJ458763 WBY458763:WCF458763 WLU458763:WMB458763 WVQ458763:WVX458763 I524299:P524299 JE524299:JL524299 TA524299:TH524299 ACW524299:ADD524299 AMS524299:AMZ524299 AWO524299:AWV524299 BGK524299:BGR524299 BQG524299:BQN524299 CAC524299:CAJ524299 CJY524299:CKF524299 CTU524299:CUB524299 DDQ524299:DDX524299 DNM524299:DNT524299 DXI524299:DXP524299 EHE524299:EHL524299 ERA524299:ERH524299 FAW524299:FBD524299 FKS524299:FKZ524299 FUO524299:FUV524299 GEK524299:GER524299 GOG524299:GON524299 GYC524299:GYJ524299 HHY524299:HIF524299 HRU524299:HSB524299 IBQ524299:IBX524299 ILM524299:ILT524299 IVI524299:IVP524299 JFE524299:JFL524299 JPA524299:JPH524299 JYW524299:JZD524299 KIS524299:KIZ524299 KSO524299:KSV524299 LCK524299:LCR524299 LMG524299:LMN524299 LWC524299:LWJ524299 MFY524299:MGF524299 MPU524299:MQB524299 MZQ524299:MZX524299 NJM524299:NJT524299 NTI524299:NTP524299 ODE524299:ODL524299 ONA524299:ONH524299 OWW524299:OXD524299 PGS524299:PGZ524299 PQO524299:PQV524299 QAK524299:QAR524299 QKG524299:QKN524299 QUC524299:QUJ524299 RDY524299:REF524299 RNU524299:ROB524299 RXQ524299:RXX524299 SHM524299:SHT524299 SRI524299:SRP524299 TBE524299:TBL524299 TLA524299:TLH524299 TUW524299:TVD524299 UES524299:UEZ524299 UOO524299:UOV524299 UYK524299:UYR524299 VIG524299:VIN524299 VSC524299:VSJ524299 WBY524299:WCF524299 WLU524299:WMB524299 WVQ524299:WVX524299 I589835:P589835 JE589835:JL589835 TA589835:TH589835 ACW589835:ADD589835 AMS589835:AMZ589835 AWO589835:AWV589835 BGK589835:BGR589835 BQG589835:BQN589835 CAC589835:CAJ589835 CJY589835:CKF589835 CTU589835:CUB589835 DDQ589835:DDX589835 DNM589835:DNT589835 DXI589835:DXP589835 EHE589835:EHL589835 ERA589835:ERH589835 FAW589835:FBD589835 FKS589835:FKZ589835 FUO589835:FUV589835 GEK589835:GER589835 GOG589835:GON589835 GYC589835:GYJ589835 HHY589835:HIF589835 HRU589835:HSB589835 IBQ589835:IBX589835 ILM589835:ILT589835 IVI589835:IVP589835 JFE589835:JFL589835 JPA589835:JPH589835 JYW589835:JZD589835 KIS589835:KIZ589835 KSO589835:KSV589835 LCK589835:LCR589835 LMG589835:LMN589835 LWC589835:LWJ589835 MFY589835:MGF589835 MPU589835:MQB589835 MZQ589835:MZX589835 NJM589835:NJT589835 NTI589835:NTP589835 ODE589835:ODL589835 ONA589835:ONH589835 OWW589835:OXD589835 PGS589835:PGZ589835 PQO589835:PQV589835 QAK589835:QAR589835 QKG589835:QKN589835 QUC589835:QUJ589835 RDY589835:REF589835 RNU589835:ROB589835 RXQ589835:RXX589835 SHM589835:SHT589835 SRI589835:SRP589835 TBE589835:TBL589835 TLA589835:TLH589835 TUW589835:TVD589835 UES589835:UEZ589835 UOO589835:UOV589835 UYK589835:UYR589835 VIG589835:VIN589835 VSC589835:VSJ589835 WBY589835:WCF589835 WLU589835:WMB589835 WVQ589835:WVX589835 I655371:P655371 JE655371:JL655371 TA655371:TH655371 ACW655371:ADD655371 AMS655371:AMZ655371 AWO655371:AWV655371 BGK655371:BGR655371 BQG655371:BQN655371 CAC655371:CAJ655371 CJY655371:CKF655371 CTU655371:CUB655371 DDQ655371:DDX655371 DNM655371:DNT655371 DXI655371:DXP655371 EHE655371:EHL655371 ERA655371:ERH655371 FAW655371:FBD655371 FKS655371:FKZ655371 FUO655371:FUV655371 GEK655371:GER655371 GOG655371:GON655371 GYC655371:GYJ655371 HHY655371:HIF655371 HRU655371:HSB655371 IBQ655371:IBX655371 ILM655371:ILT655371 IVI655371:IVP655371 JFE655371:JFL655371 JPA655371:JPH655371 JYW655371:JZD655371 KIS655371:KIZ655371 KSO655371:KSV655371 LCK655371:LCR655371 LMG655371:LMN655371 LWC655371:LWJ655371 MFY655371:MGF655371 MPU655371:MQB655371 MZQ655371:MZX655371 NJM655371:NJT655371 NTI655371:NTP655371 ODE655371:ODL655371 ONA655371:ONH655371 OWW655371:OXD655371 PGS655371:PGZ655371 PQO655371:PQV655371 QAK655371:QAR655371 QKG655371:QKN655371 QUC655371:QUJ655371 RDY655371:REF655371 RNU655371:ROB655371 RXQ655371:RXX655371 SHM655371:SHT655371 SRI655371:SRP655371 TBE655371:TBL655371 TLA655371:TLH655371 TUW655371:TVD655371 UES655371:UEZ655371 UOO655371:UOV655371 UYK655371:UYR655371 VIG655371:VIN655371 VSC655371:VSJ655371 WBY655371:WCF655371 WLU655371:WMB655371 WVQ655371:WVX655371 I720907:P720907 JE720907:JL720907 TA720907:TH720907 ACW720907:ADD720907 AMS720907:AMZ720907 AWO720907:AWV720907 BGK720907:BGR720907 BQG720907:BQN720907 CAC720907:CAJ720907 CJY720907:CKF720907 CTU720907:CUB720907 DDQ720907:DDX720907 DNM720907:DNT720907 DXI720907:DXP720907 EHE720907:EHL720907 ERA720907:ERH720907 FAW720907:FBD720907 FKS720907:FKZ720907 FUO720907:FUV720907 GEK720907:GER720907 GOG720907:GON720907 GYC720907:GYJ720907 HHY720907:HIF720907 HRU720907:HSB720907 IBQ720907:IBX720907 ILM720907:ILT720907 IVI720907:IVP720907 JFE720907:JFL720907 JPA720907:JPH720907 JYW720907:JZD720907 KIS720907:KIZ720907 KSO720907:KSV720907 LCK720907:LCR720907 LMG720907:LMN720907 LWC720907:LWJ720907 MFY720907:MGF720907 MPU720907:MQB720907 MZQ720907:MZX720907 NJM720907:NJT720907 NTI720907:NTP720907 ODE720907:ODL720907 ONA720907:ONH720907 OWW720907:OXD720907 PGS720907:PGZ720907 PQO720907:PQV720907 QAK720907:QAR720907 QKG720907:QKN720907 QUC720907:QUJ720907 RDY720907:REF720907 RNU720907:ROB720907 RXQ720907:RXX720907 SHM720907:SHT720907 SRI720907:SRP720907 TBE720907:TBL720907 TLA720907:TLH720907 TUW720907:TVD720907 UES720907:UEZ720907 UOO720907:UOV720907 UYK720907:UYR720907 VIG720907:VIN720907 VSC720907:VSJ720907 WBY720907:WCF720907 WLU720907:WMB720907 WVQ720907:WVX720907 I786443:P786443 JE786443:JL786443 TA786443:TH786443 ACW786443:ADD786443 AMS786443:AMZ786443 AWO786443:AWV786443 BGK786443:BGR786443 BQG786443:BQN786443 CAC786443:CAJ786443 CJY786443:CKF786443 CTU786443:CUB786443 DDQ786443:DDX786443 DNM786443:DNT786443 DXI786443:DXP786443 EHE786443:EHL786443 ERA786443:ERH786443 FAW786443:FBD786443 FKS786443:FKZ786443 FUO786443:FUV786443 GEK786443:GER786443 GOG786443:GON786443 GYC786443:GYJ786443 HHY786443:HIF786443 HRU786443:HSB786443 IBQ786443:IBX786443 ILM786443:ILT786443 IVI786443:IVP786443 JFE786443:JFL786443 JPA786443:JPH786443 JYW786443:JZD786443 KIS786443:KIZ786443 KSO786443:KSV786443 LCK786443:LCR786443 LMG786443:LMN786443 LWC786443:LWJ786443 MFY786443:MGF786443 MPU786443:MQB786443 MZQ786443:MZX786443 NJM786443:NJT786443 NTI786443:NTP786443 ODE786443:ODL786443 ONA786443:ONH786443 OWW786443:OXD786443 PGS786443:PGZ786443 PQO786443:PQV786443 QAK786443:QAR786443 QKG786443:QKN786443 QUC786443:QUJ786443 RDY786443:REF786443 RNU786443:ROB786443 RXQ786443:RXX786443 SHM786443:SHT786443 SRI786443:SRP786443 TBE786443:TBL786443 TLA786443:TLH786443 TUW786443:TVD786443 UES786443:UEZ786443 UOO786443:UOV786443 UYK786443:UYR786443 VIG786443:VIN786443 VSC786443:VSJ786443 WBY786443:WCF786443 WLU786443:WMB786443 WVQ786443:WVX786443 I851979:P851979 JE851979:JL851979 TA851979:TH851979 ACW851979:ADD851979 AMS851979:AMZ851979 AWO851979:AWV851979 BGK851979:BGR851979 BQG851979:BQN851979 CAC851979:CAJ851979 CJY851979:CKF851979 CTU851979:CUB851979 DDQ851979:DDX851979 DNM851979:DNT851979 DXI851979:DXP851979 EHE851979:EHL851979 ERA851979:ERH851979 FAW851979:FBD851979 FKS851979:FKZ851979 FUO851979:FUV851979 GEK851979:GER851979 GOG851979:GON851979 GYC851979:GYJ851979 HHY851979:HIF851979 HRU851979:HSB851979 IBQ851979:IBX851979 ILM851979:ILT851979 IVI851979:IVP851979 JFE851979:JFL851979 JPA851979:JPH851979 JYW851979:JZD851979 KIS851979:KIZ851979 KSO851979:KSV851979 LCK851979:LCR851979 LMG851979:LMN851979 LWC851979:LWJ851979 MFY851979:MGF851979 MPU851979:MQB851979 MZQ851979:MZX851979 NJM851979:NJT851979 NTI851979:NTP851979 ODE851979:ODL851979 ONA851979:ONH851979 OWW851979:OXD851979 PGS851979:PGZ851979 PQO851979:PQV851979 QAK851979:QAR851979 QKG851979:QKN851979 QUC851979:QUJ851979 RDY851979:REF851979 RNU851979:ROB851979 RXQ851979:RXX851979 SHM851979:SHT851979 SRI851979:SRP851979 TBE851979:TBL851979 TLA851979:TLH851979 TUW851979:TVD851979 UES851979:UEZ851979 UOO851979:UOV851979 UYK851979:UYR851979 VIG851979:VIN851979 VSC851979:VSJ851979 WBY851979:WCF851979 WLU851979:WMB851979 WVQ851979:WVX851979 I917515:P917515 JE917515:JL917515 TA917515:TH917515 ACW917515:ADD917515 AMS917515:AMZ917515 AWO917515:AWV917515 BGK917515:BGR917515 BQG917515:BQN917515 CAC917515:CAJ917515 CJY917515:CKF917515 CTU917515:CUB917515 DDQ917515:DDX917515 DNM917515:DNT917515 DXI917515:DXP917515 EHE917515:EHL917515 ERA917515:ERH917515 FAW917515:FBD917515 FKS917515:FKZ917515 FUO917515:FUV917515 GEK917515:GER917515 GOG917515:GON917515 GYC917515:GYJ917515 HHY917515:HIF917515 HRU917515:HSB917515 IBQ917515:IBX917515 ILM917515:ILT917515 IVI917515:IVP917515 JFE917515:JFL917515 JPA917515:JPH917515 JYW917515:JZD917515 KIS917515:KIZ917515 KSO917515:KSV917515 LCK917515:LCR917515 LMG917515:LMN917515 LWC917515:LWJ917515 MFY917515:MGF917515 MPU917515:MQB917515 MZQ917515:MZX917515 NJM917515:NJT917515 NTI917515:NTP917515 ODE917515:ODL917515 ONA917515:ONH917515 OWW917515:OXD917515 PGS917515:PGZ917515 PQO917515:PQV917515 QAK917515:QAR917515 QKG917515:QKN917515 QUC917515:QUJ917515 RDY917515:REF917515 RNU917515:ROB917515 RXQ917515:RXX917515 SHM917515:SHT917515 SRI917515:SRP917515 TBE917515:TBL917515 TLA917515:TLH917515 TUW917515:TVD917515 UES917515:UEZ917515 UOO917515:UOV917515 UYK917515:UYR917515 VIG917515:VIN917515 VSC917515:VSJ917515 WBY917515:WCF917515 WLU917515:WMB917515 WVQ917515:WVX917515 I983051:P983051 JE983051:JL983051 TA983051:TH983051 ACW983051:ADD983051 AMS983051:AMZ983051 AWO983051:AWV983051 BGK983051:BGR983051 BQG983051:BQN983051 CAC983051:CAJ983051 CJY983051:CKF983051 CTU983051:CUB983051 DDQ983051:DDX983051 DNM983051:DNT983051 DXI983051:DXP983051 EHE983051:EHL983051 ERA983051:ERH983051 FAW983051:FBD983051 FKS983051:FKZ983051 FUO983051:FUV983051 GEK983051:GER983051 GOG983051:GON983051 GYC983051:GYJ983051 HHY983051:HIF983051 HRU983051:HSB983051 IBQ983051:IBX983051 ILM983051:ILT983051 IVI983051:IVP983051 JFE983051:JFL983051 JPA983051:JPH983051 JYW983051:JZD983051 KIS983051:KIZ983051 KSO983051:KSV983051 LCK983051:LCR983051 LMG983051:LMN983051 LWC983051:LWJ983051 MFY983051:MGF983051 MPU983051:MQB983051 MZQ983051:MZX983051 NJM983051:NJT983051 NTI983051:NTP983051 ODE983051:ODL983051 ONA983051:ONH983051 OWW983051:OXD983051 PGS983051:PGZ983051 PQO983051:PQV983051 QAK983051:QAR983051 QKG983051:QKN983051 QUC983051:QUJ983051 RDY983051:REF983051 RNU983051:ROB983051 RXQ983051:RXX983051 SHM983051:SHT983051 SRI983051:SRP983051 TBE983051:TBL983051 TLA983051:TLH983051 TUW983051:TVD983051 UES983051:UEZ983051 UOO983051:UOV983051 UYK983051:UYR983051 VIG983051:VIN983051 VSC983051:VSJ983051 WBY983051:WCF983051 WLU983051:WMB983051 WVQ983051:WVX983051">
      <formula1>$A$52:$A$58</formula1>
    </dataValidation>
    <dataValidation operator="greaterThanOrEqual" allowBlank="1" showInputMessage="1" showErrorMessage="1" errorTitle="Erro de valores" error="Digite um valor igual a 0% ou 2%."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dataValidation type="decimal" allowBlank="1" showInputMessage="1" showErrorMessage="1" errorTitle="Erro de valores" error="Digite um valor maior do que 0."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formula1>0</formula1>
      <formula2>1</formula2>
    </dataValidation>
    <dataValidation type="decimal" allowBlank="1" showInputMessage="1" showErrorMessage="1" errorTitle="Valor não permitido" error="Digite um percentual entre 0% e 100%." promptTitle="Valores admissíveis:" prompt="Insira valores entre 0 e 100%." sqref="Q13:R13 JM13:JN13 TI13:TJ13 ADE13:ADF13 ANA13:ANB13 AWW13:AWX13 BGS13:BGT13 BQO13:BQP13 CAK13:CAL13 CKG13:CKH13 CUC13:CUD13 DDY13:DDZ13 DNU13:DNV13 DXQ13:DXR13 EHM13:EHN13 ERI13:ERJ13 FBE13:FBF13 FLA13:FLB13 FUW13:FUX13 GES13:GET13 GOO13:GOP13 GYK13:GYL13 HIG13:HIH13 HSC13:HSD13 IBY13:IBZ13 ILU13:ILV13 IVQ13:IVR13 JFM13:JFN13 JPI13:JPJ13 JZE13:JZF13 KJA13:KJB13 KSW13:KSX13 LCS13:LCT13 LMO13:LMP13 LWK13:LWL13 MGG13:MGH13 MQC13:MQD13 MZY13:MZZ13 NJU13:NJV13 NTQ13:NTR13 ODM13:ODN13 ONI13:ONJ13 OXE13:OXF13 PHA13:PHB13 PQW13:PQX13 QAS13:QAT13 QKO13:QKP13 QUK13:QUL13 REG13:REH13 ROC13:ROD13 RXY13:RXZ13 SHU13:SHV13 SRQ13:SRR13 TBM13:TBN13 TLI13:TLJ13 TVE13:TVF13 UFA13:UFB13 UOW13:UOX13 UYS13:UYT13 VIO13:VIP13 VSK13:VSL13 WCG13:WCH13 WMC13:WMD13 WVY13:WVZ13 Q65549:R65549 JM65549:JN65549 TI65549:TJ65549 ADE65549:ADF65549 ANA65549:ANB65549 AWW65549:AWX65549 BGS65549:BGT65549 BQO65549:BQP65549 CAK65549:CAL65549 CKG65549:CKH65549 CUC65549:CUD65549 DDY65549:DDZ65549 DNU65549:DNV65549 DXQ65549:DXR65549 EHM65549:EHN65549 ERI65549:ERJ65549 FBE65549:FBF65549 FLA65549:FLB65549 FUW65549:FUX65549 GES65549:GET65549 GOO65549:GOP65549 GYK65549:GYL65549 HIG65549:HIH65549 HSC65549:HSD65549 IBY65549:IBZ65549 ILU65549:ILV65549 IVQ65549:IVR65549 JFM65549:JFN65549 JPI65549:JPJ65549 JZE65549:JZF65549 KJA65549:KJB65549 KSW65549:KSX65549 LCS65549:LCT65549 LMO65549:LMP65549 LWK65549:LWL65549 MGG65549:MGH65549 MQC65549:MQD65549 MZY65549:MZZ65549 NJU65549:NJV65549 NTQ65549:NTR65549 ODM65549:ODN65549 ONI65549:ONJ65549 OXE65549:OXF65549 PHA65549:PHB65549 PQW65549:PQX65549 QAS65549:QAT65549 QKO65549:QKP65549 QUK65549:QUL65549 REG65549:REH65549 ROC65549:ROD65549 RXY65549:RXZ65549 SHU65549:SHV65549 SRQ65549:SRR65549 TBM65549:TBN65549 TLI65549:TLJ65549 TVE65549:TVF65549 UFA65549:UFB65549 UOW65549:UOX65549 UYS65549:UYT65549 VIO65549:VIP65549 VSK65549:VSL65549 WCG65549:WCH65549 WMC65549:WMD65549 WVY65549:WVZ65549 Q131085:R131085 JM131085:JN131085 TI131085:TJ131085 ADE131085:ADF131085 ANA131085:ANB131085 AWW131085:AWX131085 BGS131085:BGT131085 BQO131085:BQP131085 CAK131085:CAL131085 CKG131085:CKH131085 CUC131085:CUD131085 DDY131085:DDZ131085 DNU131085:DNV131085 DXQ131085:DXR131085 EHM131085:EHN131085 ERI131085:ERJ131085 FBE131085:FBF131085 FLA131085:FLB131085 FUW131085:FUX131085 GES131085:GET131085 GOO131085:GOP131085 GYK131085:GYL131085 HIG131085:HIH131085 HSC131085:HSD131085 IBY131085:IBZ131085 ILU131085:ILV131085 IVQ131085:IVR131085 JFM131085:JFN131085 JPI131085:JPJ131085 JZE131085:JZF131085 KJA131085:KJB131085 KSW131085:KSX131085 LCS131085:LCT131085 LMO131085:LMP131085 LWK131085:LWL131085 MGG131085:MGH131085 MQC131085:MQD131085 MZY131085:MZZ131085 NJU131085:NJV131085 NTQ131085:NTR131085 ODM131085:ODN131085 ONI131085:ONJ131085 OXE131085:OXF131085 PHA131085:PHB131085 PQW131085:PQX131085 QAS131085:QAT131085 QKO131085:QKP131085 QUK131085:QUL131085 REG131085:REH131085 ROC131085:ROD131085 RXY131085:RXZ131085 SHU131085:SHV131085 SRQ131085:SRR131085 TBM131085:TBN131085 TLI131085:TLJ131085 TVE131085:TVF131085 UFA131085:UFB131085 UOW131085:UOX131085 UYS131085:UYT131085 VIO131085:VIP131085 VSK131085:VSL131085 WCG131085:WCH131085 WMC131085:WMD131085 WVY131085:WVZ131085 Q196621:R196621 JM196621:JN196621 TI196621:TJ196621 ADE196621:ADF196621 ANA196621:ANB196621 AWW196621:AWX196621 BGS196621:BGT196621 BQO196621:BQP196621 CAK196621:CAL196621 CKG196621:CKH196621 CUC196621:CUD196621 DDY196621:DDZ196621 DNU196621:DNV196621 DXQ196621:DXR196621 EHM196621:EHN196621 ERI196621:ERJ196621 FBE196621:FBF196621 FLA196621:FLB196621 FUW196621:FUX196621 GES196621:GET196621 GOO196621:GOP196621 GYK196621:GYL196621 HIG196621:HIH196621 HSC196621:HSD196621 IBY196621:IBZ196621 ILU196621:ILV196621 IVQ196621:IVR196621 JFM196621:JFN196621 JPI196621:JPJ196621 JZE196621:JZF196621 KJA196621:KJB196621 KSW196621:KSX196621 LCS196621:LCT196621 LMO196621:LMP196621 LWK196621:LWL196621 MGG196621:MGH196621 MQC196621:MQD196621 MZY196621:MZZ196621 NJU196621:NJV196621 NTQ196621:NTR196621 ODM196621:ODN196621 ONI196621:ONJ196621 OXE196621:OXF196621 PHA196621:PHB196621 PQW196621:PQX196621 QAS196621:QAT196621 QKO196621:QKP196621 QUK196621:QUL196621 REG196621:REH196621 ROC196621:ROD196621 RXY196621:RXZ196621 SHU196621:SHV196621 SRQ196621:SRR196621 TBM196621:TBN196621 TLI196621:TLJ196621 TVE196621:TVF196621 UFA196621:UFB196621 UOW196621:UOX196621 UYS196621:UYT196621 VIO196621:VIP196621 VSK196621:VSL196621 WCG196621:WCH196621 WMC196621:WMD196621 WVY196621:WVZ196621 Q262157:R262157 JM262157:JN262157 TI262157:TJ262157 ADE262157:ADF262157 ANA262157:ANB262157 AWW262157:AWX262157 BGS262157:BGT262157 BQO262157:BQP262157 CAK262157:CAL262157 CKG262157:CKH262157 CUC262157:CUD262157 DDY262157:DDZ262157 DNU262157:DNV262157 DXQ262157:DXR262157 EHM262157:EHN262157 ERI262157:ERJ262157 FBE262157:FBF262157 FLA262157:FLB262157 FUW262157:FUX262157 GES262157:GET262157 GOO262157:GOP262157 GYK262157:GYL262157 HIG262157:HIH262157 HSC262157:HSD262157 IBY262157:IBZ262157 ILU262157:ILV262157 IVQ262157:IVR262157 JFM262157:JFN262157 JPI262157:JPJ262157 JZE262157:JZF262157 KJA262157:KJB262157 KSW262157:KSX262157 LCS262157:LCT262157 LMO262157:LMP262157 LWK262157:LWL262157 MGG262157:MGH262157 MQC262157:MQD262157 MZY262157:MZZ262157 NJU262157:NJV262157 NTQ262157:NTR262157 ODM262157:ODN262157 ONI262157:ONJ262157 OXE262157:OXF262157 PHA262157:PHB262157 PQW262157:PQX262157 QAS262157:QAT262157 QKO262157:QKP262157 QUK262157:QUL262157 REG262157:REH262157 ROC262157:ROD262157 RXY262157:RXZ262157 SHU262157:SHV262157 SRQ262157:SRR262157 TBM262157:TBN262157 TLI262157:TLJ262157 TVE262157:TVF262157 UFA262157:UFB262157 UOW262157:UOX262157 UYS262157:UYT262157 VIO262157:VIP262157 VSK262157:VSL262157 WCG262157:WCH262157 WMC262157:WMD262157 WVY262157:WVZ262157 Q327693:R327693 JM327693:JN327693 TI327693:TJ327693 ADE327693:ADF327693 ANA327693:ANB327693 AWW327693:AWX327693 BGS327693:BGT327693 BQO327693:BQP327693 CAK327693:CAL327693 CKG327693:CKH327693 CUC327693:CUD327693 DDY327693:DDZ327693 DNU327693:DNV327693 DXQ327693:DXR327693 EHM327693:EHN327693 ERI327693:ERJ327693 FBE327693:FBF327693 FLA327693:FLB327693 FUW327693:FUX327693 GES327693:GET327693 GOO327693:GOP327693 GYK327693:GYL327693 HIG327693:HIH327693 HSC327693:HSD327693 IBY327693:IBZ327693 ILU327693:ILV327693 IVQ327693:IVR327693 JFM327693:JFN327693 JPI327693:JPJ327693 JZE327693:JZF327693 KJA327693:KJB327693 KSW327693:KSX327693 LCS327693:LCT327693 LMO327693:LMP327693 LWK327693:LWL327693 MGG327693:MGH327693 MQC327693:MQD327693 MZY327693:MZZ327693 NJU327693:NJV327693 NTQ327693:NTR327693 ODM327693:ODN327693 ONI327693:ONJ327693 OXE327693:OXF327693 PHA327693:PHB327693 PQW327693:PQX327693 QAS327693:QAT327693 QKO327693:QKP327693 QUK327693:QUL327693 REG327693:REH327693 ROC327693:ROD327693 RXY327693:RXZ327693 SHU327693:SHV327693 SRQ327693:SRR327693 TBM327693:TBN327693 TLI327693:TLJ327693 TVE327693:TVF327693 UFA327693:UFB327693 UOW327693:UOX327693 UYS327693:UYT327693 VIO327693:VIP327693 VSK327693:VSL327693 WCG327693:WCH327693 WMC327693:WMD327693 WVY327693:WVZ327693 Q393229:R393229 JM393229:JN393229 TI393229:TJ393229 ADE393229:ADF393229 ANA393229:ANB393229 AWW393229:AWX393229 BGS393229:BGT393229 BQO393229:BQP393229 CAK393229:CAL393229 CKG393229:CKH393229 CUC393229:CUD393229 DDY393229:DDZ393229 DNU393229:DNV393229 DXQ393229:DXR393229 EHM393229:EHN393229 ERI393229:ERJ393229 FBE393229:FBF393229 FLA393229:FLB393229 FUW393229:FUX393229 GES393229:GET393229 GOO393229:GOP393229 GYK393229:GYL393229 HIG393229:HIH393229 HSC393229:HSD393229 IBY393229:IBZ393229 ILU393229:ILV393229 IVQ393229:IVR393229 JFM393229:JFN393229 JPI393229:JPJ393229 JZE393229:JZF393229 KJA393229:KJB393229 KSW393229:KSX393229 LCS393229:LCT393229 LMO393229:LMP393229 LWK393229:LWL393229 MGG393229:MGH393229 MQC393229:MQD393229 MZY393229:MZZ393229 NJU393229:NJV393229 NTQ393229:NTR393229 ODM393229:ODN393229 ONI393229:ONJ393229 OXE393229:OXF393229 PHA393229:PHB393229 PQW393229:PQX393229 QAS393229:QAT393229 QKO393229:QKP393229 QUK393229:QUL393229 REG393229:REH393229 ROC393229:ROD393229 RXY393229:RXZ393229 SHU393229:SHV393229 SRQ393229:SRR393229 TBM393229:TBN393229 TLI393229:TLJ393229 TVE393229:TVF393229 UFA393229:UFB393229 UOW393229:UOX393229 UYS393229:UYT393229 VIO393229:VIP393229 VSK393229:VSL393229 WCG393229:WCH393229 WMC393229:WMD393229 WVY393229:WVZ393229 Q458765:R458765 JM458765:JN458765 TI458765:TJ458765 ADE458765:ADF458765 ANA458765:ANB458765 AWW458765:AWX458765 BGS458765:BGT458765 BQO458765:BQP458765 CAK458765:CAL458765 CKG458765:CKH458765 CUC458765:CUD458765 DDY458765:DDZ458765 DNU458765:DNV458765 DXQ458765:DXR458765 EHM458765:EHN458765 ERI458765:ERJ458765 FBE458765:FBF458765 FLA458765:FLB458765 FUW458765:FUX458765 GES458765:GET458765 GOO458765:GOP458765 GYK458765:GYL458765 HIG458765:HIH458765 HSC458765:HSD458765 IBY458765:IBZ458765 ILU458765:ILV458765 IVQ458765:IVR458765 JFM458765:JFN458765 JPI458765:JPJ458765 JZE458765:JZF458765 KJA458765:KJB458765 KSW458765:KSX458765 LCS458765:LCT458765 LMO458765:LMP458765 LWK458765:LWL458765 MGG458765:MGH458765 MQC458765:MQD458765 MZY458765:MZZ458765 NJU458765:NJV458765 NTQ458765:NTR458765 ODM458765:ODN458765 ONI458765:ONJ458765 OXE458765:OXF458765 PHA458765:PHB458765 PQW458765:PQX458765 QAS458765:QAT458765 QKO458765:QKP458765 QUK458765:QUL458765 REG458765:REH458765 ROC458765:ROD458765 RXY458765:RXZ458765 SHU458765:SHV458765 SRQ458765:SRR458765 TBM458765:TBN458765 TLI458765:TLJ458765 TVE458765:TVF458765 UFA458765:UFB458765 UOW458765:UOX458765 UYS458765:UYT458765 VIO458765:VIP458765 VSK458765:VSL458765 WCG458765:WCH458765 WMC458765:WMD458765 WVY458765:WVZ458765 Q524301:R524301 JM524301:JN524301 TI524301:TJ524301 ADE524301:ADF524301 ANA524301:ANB524301 AWW524301:AWX524301 BGS524301:BGT524301 BQO524301:BQP524301 CAK524301:CAL524301 CKG524301:CKH524301 CUC524301:CUD524301 DDY524301:DDZ524301 DNU524301:DNV524301 DXQ524301:DXR524301 EHM524301:EHN524301 ERI524301:ERJ524301 FBE524301:FBF524301 FLA524301:FLB524301 FUW524301:FUX524301 GES524301:GET524301 GOO524301:GOP524301 GYK524301:GYL524301 HIG524301:HIH524301 HSC524301:HSD524301 IBY524301:IBZ524301 ILU524301:ILV524301 IVQ524301:IVR524301 JFM524301:JFN524301 JPI524301:JPJ524301 JZE524301:JZF524301 KJA524301:KJB524301 KSW524301:KSX524301 LCS524301:LCT524301 LMO524301:LMP524301 LWK524301:LWL524301 MGG524301:MGH524301 MQC524301:MQD524301 MZY524301:MZZ524301 NJU524301:NJV524301 NTQ524301:NTR524301 ODM524301:ODN524301 ONI524301:ONJ524301 OXE524301:OXF524301 PHA524301:PHB524301 PQW524301:PQX524301 QAS524301:QAT524301 QKO524301:QKP524301 QUK524301:QUL524301 REG524301:REH524301 ROC524301:ROD524301 RXY524301:RXZ524301 SHU524301:SHV524301 SRQ524301:SRR524301 TBM524301:TBN524301 TLI524301:TLJ524301 TVE524301:TVF524301 UFA524301:UFB524301 UOW524301:UOX524301 UYS524301:UYT524301 VIO524301:VIP524301 VSK524301:VSL524301 WCG524301:WCH524301 WMC524301:WMD524301 WVY524301:WVZ524301 Q589837:R589837 JM589837:JN589837 TI589837:TJ589837 ADE589837:ADF589837 ANA589837:ANB589837 AWW589837:AWX589837 BGS589837:BGT589837 BQO589837:BQP589837 CAK589837:CAL589837 CKG589837:CKH589837 CUC589837:CUD589837 DDY589837:DDZ589837 DNU589837:DNV589837 DXQ589837:DXR589837 EHM589837:EHN589837 ERI589837:ERJ589837 FBE589837:FBF589837 FLA589837:FLB589837 FUW589837:FUX589837 GES589837:GET589837 GOO589837:GOP589837 GYK589837:GYL589837 HIG589837:HIH589837 HSC589837:HSD589837 IBY589837:IBZ589837 ILU589837:ILV589837 IVQ589837:IVR589837 JFM589837:JFN589837 JPI589837:JPJ589837 JZE589837:JZF589837 KJA589837:KJB589837 KSW589837:KSX589837 LCS589837:LCT589837 LMO589837:LMP589837 LWK589837:LWL589837 MGG589837:MGH589837 MQC589837:MQD589837 MZY589837:MZZ589837 NJU589837:NJV589837 NTQ589837:NTR589837 ODM589837:ODN589837 ONI589837:ONJ589837 OXE589837:OXF589837 PHA589837:PHB589837 PQW589837:PQX589837 QAS589837:QAT589837 QKO589837:QKP589837 QUK589837:QUL589837 REG589837:REH589837 ROC589837:ROD589837 RXY589837:RXZ589837 SHU589837:SHV589837 SRQ589837:SRR589837 TBM589837:TBN589837 TLI589837:TLJ589837 TVE589837:TVF589837 UFA589837:UFB589837 UOW589837:UOX589837 UYS589837:UYT589837 VIO589837:VIP589837 VSK589837:VSL589837 WCG589837:WCH589837 WMC589837:WMD589837 WVY589837:WVZ589837 Q655373:R655373 JM655373:JN655373 TI655373:TJ655373 ADE655373:ADF655373 ANA655373:ANB655373 AWW655373:AWX655373 BGS655373:BGT655373 BQO655373:BQP655373 CAK655373:CAL655373 CKG655373:CKH655373 CUC655373:CUD655373 DDY655373:DDZ655373 DNU655373:DNV655373 DXQ655373:DXR655373 EHM655373:EHN655373 ERI655373:ERJ655373 FBE655373:FBF655373 FLA655373:FLB655373 FUW655373:FUX655373 GES655373:GET655373 GOO655373:GOP655373 GYK655373:GYL655373 HIG655373:HIH655373 HSC655373:HSD655373 IBY655373:IBZ655373 ILU655373:ILV655373 IVQ655373:IVR655373 JFM655373:JFN655373 JPI655373:JPJ655373 JZE655373:JZF655373 KJA655373:KJB655373 KSW655373:KSX655373 LCS655373:LCT655373 LMO655373:LMP655373 LWK655373:LWL655373 MGG655373:MGH655373 MQC655373:MQD655373 MZY655373:MZZ655373 NJU655373:NJV655373 NTQ655373:NTR655373 ODM655373:ODN655373 ONI655373:ONJ655373 OXE655373:OXF655373 PHA655373:PHB655373 PQW655373:PQX655373 QAS655373:QAT655373 QKO655373:QKP655373 QUK655373:QUL655373 REG655373:REH655373 ROC655373:ROD655373 RXY655373:RXZ655373 SHU655373:SHV655373 SRQ655373:SRR655373 TBM655373:TBN655373 TLI655373:TLJ655373 TVE655373:TVF655373 UFA655373:UFB655373 UOW655373:UOX655373 UYS655373:UYT655373 VIO655373:VIP655373 VSK655373:VSL655373 WCG655373:WCH655373 WMC655373:WMD655373 WVY655373:WVZ655373 Q720909:R720909 JM720909:JN720909 TI720909:TJ720909 ADE720909:ADF720909 ANA720909:ANB720909 AWW720909:AWX720909 BGS720909:BGT720909 BQO720909:BQP720909 CAK720909:CAL720909 CKG720909:CKH720909 CUC720909:CUD720909 DDY720909:DDZ720909 DNU720909:DNV720909 DXQ720909:DXR720909 EHM720909:EHN720909 ERI720909:ERJ720909 FBE720909:FBF720909 FLA720909:FLB720909 FUW720909:FUX720909 GES720909:GET720909 GOO720909:GOP720909 GYK720909:GYL720909 HIG720909:HIH720909 HSC720909:HSD720909 IBY720909:IBZ720909 ILU720909:ILV720909 IVQ720909:IVR720909 JFM720909:JFN720909 JPI720909:JPJ720909 JZE720909:JZF720909 KJA720909:KJB720909 KSW720909:KSX720909 LCS720909:LCT720909 LMO720909:LMP720909 LWK720909:LWL720909 MGG720909:MGH720909 MQC720909:MQD720909 MZY720909:MZZ720909 NJU720909:NJV720909 NTQ720909:NTR720909 ODM720909:ODN720909 ONI720909:ONJ720909 OXE720909:OXF720909 PHA720909:PHB720909 PQW720909:PQX720909 QAS720909:QAT720909 QKO720909:QKP720909 QUK720909:QUL720909 REG720909:REH720909 ROC720909:ROD720909 RXY720909:RXZ720909 SHU720909:SHV720909 SRQ720909:SRR720909 TBM720909:TBN720909 TLI720909:TLJ720909 TVE720909:TVF720909 UFA720909:UFB720909 UOW720909:UOX720909 UYS720909:UYT720909 VIO720909:VIP720909 VSK720909:VSL720909 WCG720909:WCH720909 WMC720909:WMD720909 WVY720909:WVZ720909 Q786445:R786445 JM786445:JN786445 TI786445:TJ786445 ADE786445:ADF786445 ANA786445:ANB786445 AWW786445:AWX786445 BGS786445:BGT786445 BQO786445:BQP786445 CAK786445:CAL786445 CKG786445:CKH786445 CUC786445:CUD786445 DDY786445:DDZ786445 DNU786445:DNV786445 DXQ786445:DXR786445 EHM786445:EHN786445 ERI786445:ERJ786445 FBE786445:FBF786445 FLA786445:FLB786445 FUW786445:FUX786445 GES786445:GET786445 GOO786445:GOP786445 GYK786445:GYL786445 HIG786445:HIH786445 HSC786445:HSD786445 IBY786445:IBZ786445 ILU786445:ILV786445 IVQ786445:IVR786445 JFM786445:JFN786445 JPI786445:JPJ786445 JZE786445:JZF786445 KJA786445:KJB786445 KSW786445:KSX786445 LCS786445:LCT786445 LMO786445:LMP786445 LWK786445:LWL786445 MGG786445:MGH786445 MQC786445:MQD786445 MZY786445:MZZ786445 NJU786445:NJV786445 NTQ786445:NTR786445 ODM786445:ODN786445 ONI786445:ONJ786445 OXE786445:OXF786445 PHA786445:PHB786445 PQW786445:PQX786445 QAS786445:QAT786445 QKO786445:QKP786445 QUK786445:QUL786445 REG786445:REH786445 ROC786445:ROD786445 RXY786445:RXZ786445 SHU786445:SHV786445 SRQ786445:SRR786445 TBM786445:TBN786445 TLI786445:TLJ786445 TVE786445:TVF786445 UFA786445:UFB786445 UOW786445:UOX786445 UYS786445:UYT786445 VIO786445:VIP786445 VSK786445:VSL786445 WCG786445:WCH786445 WMC786445:WMD786445 WVY786445:WVZ786445 Q851981:R851981 JM851981:JN851981 TI851981:TJ851981 ADE851981:ADF851981 ANA851981:ANB851981 AWW851981:AWX851981 BGS851981:BGT851981 BQO851981:BQP851981 CAK851981:CAL851981 CKG851981:CKH851981 CUC851981:CUD851981 DDY851981:DDZ851981 DNU851981:DNV851981 DXQ851981:DXR851981 EHM851981:EHN851981 ERI851981:ERJ851981 FBE851981:FBF851981 FLA851981:FLB851981 FUW851981:FUX851981 GES851981:GET851981 GOO851981:GOP851981 GYK851981:GYL851981 HIG851981:HIH851981 HSC851981:HSD851981 IBY851981:IBZ851981 ILU851981:ILV851981 IVQ851981:IVR851981 JFM851981:JFN851981 JPI851981:JPJ851981 JZE851981:JZF851981 KJA851981:KJB851981 KSW851981:KSX851981 LCS851981:LCT851981 LMO851981:LMP851981 LWK851981:LWL851981 MGG851981:MGH851981 MQC851981:MQD851981 MZY851981:MZZ851981 NJU851981:NJV851981 NTQ851981:NTR851981 ODM851981:ODN851981 ONI851981:ONJ851981 OXE851981:OXF851981 PHA851981:PHB851981 PQW851981:PQX851981 QAS851981:QAT851981 QKO851981:QKP851981 QUK851981:QUL851981 REG851981:REH851981 ROC851981:ROD851981 RXY851981:RXZ851981 SHU851981:SHV851981 SRQ851981:SRR851981 TBM851981:TBN851981 TLI851981:TLJ851981 TVE851981:TVF851981 UFA851981:UFB851981 UOW851981:UOX851981 UYS851981:UYT851981 VIO851981:VIP851981 VSK851981:VSL851981 WCG851981:WCH851981 WMC851981:WMD851981 WVY851981:WVZ851981 Q917517:R917517 JM917517:JN917517 TI917517:TJ917517 ADE917517:ADF917517 ANA917517:ANB917517 AWW917517:AWX917517 BGS917517:BGT917517 BQO917517:BQP917517 CAK917517:CAL917517 CKG917517:CKH917517 CUC917517:CUD917517 DDY917517:DDZ917517 DNU917517:DNV917517 DXQ917517:DXR917517 EHM917517:EHN917517 ERI917517:ERJ917517 FBE917517:FBF917517 FLA917517:FLB917517 FUW917517:FUX917517 GES917517:GET917517 GOO917517:GOP917517 GYK917517:GYL917517 HIG917517:HIH917517 HSC917517:HSD917517 IBY917517:IBZ917517 ILU917517:ILV917517 IVQ917517:IVR917517 JFM917517:JFN917517 JPI917517:JPJ917517 JZE917517:JZF917517 KJA917517:KJB917517 KSW917517:KSX917517 LCS917517:LCT917517 LMO917517:LMP917517 LWK917517:LWL917517 MGG917517:MGH917517 MQC917517:MQD917517 MZY917517:MZZ917517 NJU917517:NJV917517 NTQ917517:NTR917517 ODM917517:ODN917517 ONI917517:ONJ917517 OXE917517:OXF917517 PHA917517:PHB917517 PQW917517:PQX917517 QAS917517:QAT917517 QKO917517:QKP917517 QUK917517:QUL917517 REG917517:REH917517 ROC917517:ROD917517 RXY917517:RXZ917517 SHU917517:SHV917517 SRQ917517:SRR917517 TBM917517:TBN917517 TLI917517:TLJ917517 TVE917517:TVF917517 UFA917517:UFB917517 UOW917517:UOX917517 UYS917517:UYT917517 VIO917517:VIP917517 VSK917517:VSL917517 WCG917517:WCH917517 WMC917517:WMD917517 WVY917517:WVZ917517 Q983053:R983053 JM983053:JN983053 TI983053:TJ983053 ADE983053:ADF983053 ANA983053:ANB983053 AWW983053:AWX983053 BGS983053:BGT983053 BQO983053:BQP983053 CAK983053:CAL983053 CKG983053:CKH983053 CUC983053:CUD983053 DDY983053:DDZ983053 DNU983053:DNV983053 DXQ983053:DXR983053 EHM983053:EHN983053 ERI983053:ERJ983053 FBE983053:FBF983053 FLA983053:FLB983053 FUW983053:FUX983053 GES983053:GET983053 GOO983053:GOP983053 GYK983053:GYL983053 HIG983053:HIH983053 HSC983053:HSD983053 IBY983053:IBZ983053 ILU983053:ILV983053 IVQ983053:IVR983053 JFM983053:JFN983053 JPI983053:JPJ983053 JZE983053:JZF983053 KJA983053:KJB983053 KSW983053:KSX983053 LCS983053:LCT983053 LMO983053:LMP983053 LWK983053:LWL983053 MGG983053:MGH983053 MQC983053:MQD983053 MZY983053:MZZ983053 NJU983053:NJV983053 NTQ983053:NTR983053 ODM983053:ODN983053 ONI983053:ONJ983053 OXE983053:OXF983053 PHA983053:PHB983053 PQW983053:PQX983053 QAS983053:QAT983053 QKO983053:QKP983053 QUK983053:QUL983053 REG983053:REH983053 ROC983053:ROD983053 RXY983053:RXZ983053 SHU983053:SHV983053 SRQ983053:SRR983053 TBM983053:TBN983053 TLI983053:TLJ983053 TVE983053:TVF983053 UFA983053:UFB983053 UOW983053:UOX983053 UYS983053:UYT983053 VIO983053:VIP983053 VSK983053:VSL983053 WCG983053:WCH983053 WMC983053:WMD983053 WVY983053:WVZ983053">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formula1>0</formula1>
    </dataValidation>
    <dataValidation type="decimal" allowBlank="1" showInputMessage="1" showErrorMessage="1" errorTitle="Erro de valores" error="Digite um valor entre 0% e 100%" sqref="N18:N23 JJ18:JJ23 TF18:TF23 ADB18:ADB23 AMX18:AMX23 AWT18:AWT23 BGP18:BGP23 BQL18:BQL23 CAH18:CAH23 CKD18:CKD23 CTZ18:CTZ23 DDV18:DDV23 DNR18:DNR23 DXN18:DXN23 EHJ18:EHJ23 ERF18:ERF23 FBB18:FBB23 FKX18:FKX23 FUT18:FUT23 GEP18:GEP23 GOL18:GOL23 GYH18:GYH23 HID18:HID23 HRZ18:HRZ23 IBV18:IBV23 ILR18:ILR23 IVN18:IVN23 JFJ18:JFJ23 JPF18:JPF23 JZB18:JZB23 KIX18:KIX23 KST18:KST23 LCP18:LCP23 LML18:LML23 LWH18:LWH23 MGD18:MGD23 MPZ18:MPZ23 MZV18:MZV23 NJR18:NJR23 NTN18:NTN23 ODJ18:ODJ23 ONF18:ONF23 OXB18:OXB23 PGX18:PGX23 PQT18:PQT23 QAP18:QAP23 QKL18:QKL23 QUH18:QUH23 RED18:RED23 RNZ18:RNZ23 RXV18:RXV23 SHR18:SHR23 SRN18:SRN23 TBJ18:TBJ23 TLF18:TLF23 TVB18:TVB23 UEX18:UEX23 UOT18:UOT23 UYP18:UYP23 VIL18:VIL23 VSH18:VSH23 WCD18:WCD23 WLZ18:WLZ23 WVV18:WVV23 N65554:N65559 JJ65554:JJ65559 TF65554:TF65559 ADB65554:ADB65559 AMX65554:AMX65559 AWT65554:AWT65559 BGP65554:BGP65559 BQL65554:BQL65559 CAH65554:CAH65559 CKD65554:CKD65559 CTZ65554:CTZ65559 DDV65554:DDV65559 DNR65554:DNR65559 DXN65554:DXN65559 EHJ65554:EHJ65559 ERF65554:ERF65559 FBB65554:FBB65559 FKX65554:FKX65559 FUT65554:FUT65559 GEP65554:GEP65559 GOL65554:GOL65559 GYH65554:GYH65559 HID65554:HID65559 HRZ65554:HRZ65559 IBV65554:IBV65559 ILR65554:ILR65559 IVN65554:IVN65559 JFJ65554:JFJ65559 JPF65554:JPF65559 JZB65554:JZB65559 KIX65554:KIX65559 KST65554:KST65559 LCP65554:LCP65559 LML65554:LML65559 LWH65554:LWH65559 MGD65554:MGD65559 MPZ65554:MPZ65559 MZV65554:MZV65559 NJR65554:NJR65559 NTN65554:NTN65559 ODJ65554:ODJ65559 ONF65554:ONF65559 OXB65554:OXB65559 PGX65554:PGX65559 PQT65554:PQT65559 QAP65554:QAP65559 QKL65554:QKL65559 QUH65554:QUH65559 RED65554:RED65559 RNZ65554:RNZ65559 RXV65554:RXV65559 SHR65554:SHR65559 SRN65554:SRN65559 TBJ65554:TBJ65559 TLF65554:TLF65559 TVB65554:TVB65559 UEX65554:UEX65559 UOT65554:UOT65559 UYP65554:UYP65559 VIL65554:VIL65559 VSH65554:VSH65559 WCD65554:WCD65559 WLZ65554:WLZ65559 WVV65554:WVV65559 N131090:N131095 JJ131090:JJ131095 TF131090:TF131095 ADB131090:ADB131095 AMX131090:AMX131095 AWT131090:AWT131095 BGP131090:BGP131095 BQL131090:BQL131095 CAH131090:CAH131095 CKD131090:CKD131095 CTZ131090:CTZ131095 DDV131090:DDV131095 DNR131090:DNR131095 DXN131090:DXN131095 EHJ131090:EHJ131095 ERF131090:ERF131095 FBB131090:FBB131095 FKX131090:FKX131095 FUT131090:FUT131095 GEP131090:GEP131095 GOL131090:GOL131095 GYH131090:GYH131095 HID131090:HID131095 HRZ131090:HRZ131095 IBV131090:IBV131095 ILR131090:ILR131095 IVN131090:IVN131095 JFJ131090:JFJ131095 JPF131090:JPF131095 JZB131090:JZB131095 KIX131090:KIX131095 KST131090:KST131095 LCP131090:LCP131095 LML131090:LML131095 LWH131090:LWH131095 MGD131090:MGD131095 MPZ131090:MPZ131095 MZV131090:MZV131095 NJR131090:NJR131095 NTN131090:NTN131095 ODJ131090:ODJ131095 ONF131090:ONF131095 OXB131090:OXB131095 PGX131090:PGX131095 PQT131090:PQT131095 QAP131090:QAP131095 QKL131090:QKL131095 QUH131090:QUH131095 RED131090:RED131095 RNZ131090:RNZ131095 RXV131090:RXV131095 SHR131090:SHR131095 SRN131090:SRN131095 TBJ131090:TBJ131095 TLF131090:TLF131095 TVB131090:TVB131095 UEX131090:UEX131095 UOT131090:UOT131095 UYP131090:UYP131095 VIL131090:VIL131095 VSH131090:VSH131095 WCD131090:WCD131095 WLZ131090:WLZ131095 WVV131090:WVV131095 N196626:N196631 JJ196626:JJ196631 TF196626:TF196631 ADB196626:ADB196631 AMX196626:AMX196631 AWT196626:AWT196631 BGP196626:BGP196631 BQL196626:BQL196631 CAH196626:CAH196631 CKD196626:CKD196631 CTZ196626:CTZ196631 DDV196626:DDV196631 DNR196626:DNR196631 DXN196626:DXN196631 EHJ196626:EHJ196631 ERF196626:ERF196631 FBB196626:FBB196631 FKX196626:FKX196631 FUT196626:FUT196631 GEP196626:GEP196631 GOL196626:GOL196631 GYH196626:GYH196631 HID196626:HID196631 HRZ196626:HRZ196631 IBV196626:IBV196631 ILR196626:ILR196631 IVN196626:IVN196631 JFJ196626:JFJ196631 JPF196626:JPF196631 JZB196626:JZB196631 KIX196626:KIX196631 KST196626:KST196631 LCP196626:LCP196631 LML196626:LML196631 LWH196626:LWH196631 MGD196626:MGD196631 MPZ196626:MPZ196631 MZV196626:MZV196631 NJR196626:NJR196631 NTN196626:NTN196631 ODJ196626:ODJ196631 ONF196626:ONF196631 OXB196626:OXB196631 PGX196626:PGX196631 PQT196626:PQT196631 QAP196626:QAP196631 QKL196626:QKL196631 QUH196626:QUH196631 RED196626:RED196631 RNZ196626:RNZ196631 RXV196626:RXV196631 SHR196626:SHR196631 SRN196626:SRN196631 TBJ196626:TBJ196631 TLF196626:TLF196631 TVB196626:TVB196631 UEX196626:UEX196631 UOT196626:UOT196631 UYP196626:UYP196631 VIL196626:VIL196631 VSH196626:VSH196631 WCD196626:WCD196631 WLZ196626:WLZ196631 WVV196626:WVV196631 N262162:N262167 JJ262162:JJ262167 TF262162:TF262167 ADB262162:ADB262167 AMX262162:AMX262167 AWT262162:AWT262167 BGP262162:BGP262167 BQL262162:BQL262167 CAH262162:CAH262167 CKD262162:CKD262167 CTZ262162:CTZ262167 DDV262162:DDV262167 DNR262162:DNR262167 DXN262162:DXN262167 EHJ262162:EHJ262167 ERF262162:ERF262167 FBB262162:FBB262167 FKX262162:FKX262167 FUT262162:FUT262167 GEP262162:GEP262167 GOL262162:GOL262167 GYH262162:GYH262167 HID262162:HID262167 HRZ262162:HRZ262167 IBV262162:IBV262167 ILR262162:ILR262167 IVN262162:IVN262167 JFJ262162:JFJ262167 JPF262162:JPF262167 JZB262162:JZB262167 KIX262162:KIX262167 KST262162:KST262167 LCP262162:LCP262167 LML262162:LML262167 LWH262162:LWH262167 MGD262162:MGD262167 MPZ262162:MPZ262167 MZV262162:MZV262167 NJR262162:NJR262167 NTN262162:NTN262167 ODJ262162:ODJ262167 ONF262162:ONF262167 OXB262162:OXB262167 PGX262162:PGX262167 PQT262162:PQT262167 QAP262162:QAP262167 QKL262162:QKL262167 QUH262162:QUH262167 RED262162:RED262167 RNZ262162:RNZ262167 RXV262162:RXV262167 SHR262162:SHR262167 SRN262162:SRN262167 TBJ262162:TBJ262167 TLF262162:TLF262167 TVB262162:TVB262167 UEX262162:UEX262167 UOT262162:UOT262167 UYP262162:UYP262167 VIL262162:VIL262167 VSH262162:VSH262167 WCD262162:WCD262167 WLZ262162:WLZ262167 WVV262162:WVV262167 N327698:N327703 JJ327698:JJ327703 TF327698:TF327703 ADB327698:ADB327703 AMX327698:AMX327703 AWT327698:AWT327703 BGP327698:BGP327703 BQL327698:BQL327703 CAH327698:CAH327703 CKD327698:CKD327703 CTZ327698:CTZ327703 DDV327698:DDV327703 DNR327698:DNR327703 DXN327698:DXN327703 EHJ327698:EHJ327703 ERF327698:ERF327703 FBB327698:FBB327703 FKX327698:FKX327703 FUT327698:FUT327703 GEP327698:GEP327703 GOL327698:GOL327703 GYH327698:GYH327703 HID327698:HID327703 HRZ327698:HRZ327703 IBV327698:IBV327703 ILR327698:ILR327703 IVN327698:IVN327703 JFJ327698:JFJ327703 JPF327698:JPF327703 JZB327698:JZB327703 KIX327698:KIX327703 KST327698:KST327703 LCP327698:LCP327703 LML327698:LML327703 LWH327698:LWH327703 MGD327698:MGD327703 MPZ327698:MPZ327703 MZV327698:MZV327703 NJR327698:NJR327703 NTN327698:NTN327703 ODJ327698:ODJ327703 ONF327698:ONF327703 OXB327698:OXB327703 PGX327698:PGX327703 PQT327698:PQT327703 QAP327698:QAP327703 QKL327698:QKL327703 QUH327698:QUH327703 RED327698:RED327703 RNZ327698:RNZ327703 RXV327698:RXV327703 SHR327698:SHR327703 SRN327698:SRN327703 TBJ327698:TBJ327703 TLF327698:TLF327703 TVB327698:TVB327703 UEX327698:UEX327703 UOT327698:UOT327703 UYP327698:UYP327703 VIL327698:VIL327703 VSH327698:VSH327703 WCD327698:WCD327703 WLZ327698:WLZ327703 WVV327698:WVV327703 N393234:N393239 JJ393234:JJ393239 TF393234:TF393239 ADB393234:ADB393239 AMX393234:AMX393239 AWT393234:AWT393239 BGP393234:BGP393239 BQL393234:BQL393239 CAH393234:CAH393239 CKD393234:CKD393239 CTZ393234:CTZ393239 DDV393234:DDV393239 DNR393234:DNR393239 DXN393234:DXN393239 EHJ393234:EHJ393239 ERF393234:ERF393239 FBB393234:FBB393239 FKX393234:FKX393239 FUT393234:FUT393239 GEP393234:GEP393239 GOL393234:GOL393239 GYH393234:GYH393239 HID393234:HID393239 HRZ393234:HRZ393239 IBV393234:IBV393239 ILR393234:ILR393239 IVN393234:IVN393239 JFJ393234:JFJ393239 JPF393234:JPF393239 JZB393234:JZB393239 KIX393234:KIX393239 KST393234:KST393239 LCP393234:LCP393239 LML393234:LML393239 LWH393234:LWH393239 MGD393234:MGD393239 MPZ393234:MPZ393239 MZV393234:MZV393239 NJR393234:NJR393239 NTN393234:NTN393239 ODJ393234:ODJ393239 ONF393234:ONF393239 OXB393234:OXB393239 PGX393234:PGX393239 PQT393234:PQT393239 QAP393234:QAP393239 QKL393234:QKL393239 QUH393234:QUH393239 RED393234:RED393239 RNZ393234:RNZ393239 RXV393234:RXV393239 SHR393234:SHR393239 SRN393234:SRN393239 TBJ393234:TBJ393239 TLF393234:TLF393239 TVB393234:TVB393239 UEX393234:UEX393239 UOT393234:UOT393239 UYP393234:UYP393239 VIL393234:VIL393239 VSH393234:VSH393239 WCD393234:WCD393239 WLZ393234:WLZ393239 WVV393234:WVV393239 N458770:N458775 JJ458770:JJ458775 TF458770:TF458775 ADB458770:ADB458775 AMX458770:AMX458775 AWT458770:AWT458775 BGP458770:BGP458775 BQL458770:BQL458775 CAH458770:CAH458775 CKD458770:CKD458775 CTZ458770:CTZ458775 DDV458770:DDV458775 DNR458770:DNR458775 DXN458770:DXN458775 EHJ458770:EHJ458775 ERF458770:ERF458775 FBB458770:FBB458775 FKX458770:FKX458775 FUT458770:FUT458775 GEP458770:GEP458775 GOL458770:GOL458775 GYH458770:GYH458775 HID458770:HID458775 HRZ458770:HRZ458775 IBV458770:IBV458775 ILR458770:ILR458775 IVN458770:IVN458775 JFJ458770:JFJ458775 JPF458770:JPF458775 JZB458770:JZB458775 KIX458770:KIX458775 KST458770:KST458775 LCP458770:LCP458775 LML458770:LML458775 LWH458770:LWH458775 MGD458770:MGD458775 MPZ458770:MPZ458775 MZV458770:MZV458775 NJR458770:NJR458775 NTN458770:NTN458775 ODJ458770:ODJ458775 ONF458770:ONF458775 OXB458770:OXB458775 PGX458770:PGX458775 PQT458770:PQT458775 QAP458770:QAP458775 QKL458770:QKL458775 QUH458770:QUH458775 RED458770:RED458775 RNZ458770:RNZ458775 RXV458770:RXV458775 SHR458770:SHR458775 SRN458770:SRN458775 TBJ458770:TBJ458775 TLF458770:TLF458775 TVB458770:TVB458775 UEX458770:UEX458775 UOT458770:UOT458775 UYP458770:UYP458775 VIL458770:VIL458775 VSH458770:VSH458775 WCD458770:WCD458775 WLZ458770:WLZ458775 WVV458770:WVV458775 N524306:N524311 JJ524306:JJ524311 TF524306:TF524311 ADB524306:ADB524311 AMX524306:AMX524311 AWT524306:AWT524311 BGP524306:BGP524311 BQL524306:BQL524311 CAH524306:CAH524311 CKD524306:CKD524311 CTZ524306:CTZ524311 DDV524306:DDV524311 DNR524306:DNR524311 DXN524306:DXN524311 EHJ524306:EHJ524311 ERF524306:ERF524311 FBB524306:FBB524311 FKX524306:FKX524311 FUT524306:FUT524311 GEP524306:GEP524311 GOL524306:GOL524311 GYH524306:GYH524311 HID524306:HID524311 HRZ524306:HRZ524311 IBV524306:IBV524311 ILR524306:ILR524311 IVN524306:IVN524311 JFJ524306:JFJ524311 JPF524306:JPF524311 JZB524306:JZB524311 KIX524306:KIX524311 KST524306:KST524311 LCP524306:LCP524311 LML524306:LML524311 LWH524306:LWH524311 MGD524306:MGD524311 MPZ524306:MPZ524311 MZV524306:MZV524311 NJR524306:NJR524311 NTN524306:NTN524311 ODJ524306:ODJ524311 ONF524306:ONF524311 OXB524306:OXB524311 PGX524306:PGX524311 PQT524306:PQT524311 QAP524306:QAP524311 QKL524306:QKL524311 QUH524306:QUH524311 RED524306:RED524311 RNZ524306:RNZ524311 RXV524306:RXV524311 SHR524306:SHR524311 SRN524306:SRN524311 TBJ524306:TBJ524311 TLF524306:TLF524311 TVB524306:TVB524311 UEX524306:UEX524311 UOT524306:UOT524311 UYP524306:UYP524311 VIL524306:VIL524311 VSH524306:VSH524311 WCD524306:WCD524311 WLZ524306:WLZ524311 WVV524306:WVV524311 N589842:N589847 JJ589842:JJ589847 TF589842:TF589847 ADB589842:ADB589847 AMX589842:AMX589847 AWT589842:AWT589847 BGP589842:BGP589847 BQL589842:BQL589847 CAH589842:CAH589847 CKD589842:CKD589847 CTZ589842:CTZ589847 DDV589842:DDV589847 DNR589842:DNR589847 DXN589842:DXN589847 EHJ589842:EHJ589847 ERF589842:ERF589847 FBB589842:FBB589847 FKX589842:FKX589847 FUT589842:FUT589847 GEP589842:GEP589847 GOL589842:GOL589847 GYH589842:GYH589847 HID589842:HID589847 HRZ589842:HRZ589847 IBV589842:IBV589847 ILR589842:ILR589847 IVN589842:IVN589847 JFJ589842:JFJ589847 JPF589842:JPF589847 JZB589842:JZB589847 KIX589842:KIX589847 KST589842:KST589847 LCP589842:LCP589847 LML589842:LML589847 LWH589842:LWH589847 MGD589842:MGD589847 MPZ589842:MPZ589847 MZV589842:MZV589847 NJR589842:NJR589847 NTN589842:NTN589847 ODJ589842:ODJ589847 ONF589842:ONF589847 OXB589842:OXB589847 PGX589842:PGX589847 PQT589842:PQT589847 QAP589842:QAP589847 QKL589842:QKL589847 QUH589842:QUH589847 RED589842:RED589847 RNZ589842:RNZ589847 RXV589842:RXV589847 SHR589842:SHR589847 SRN589842:SRN589847 TBJ589842:TBJ589847 TLF589842:TLF589847 TVB589842:TVB589847 UEX589842:UEX589847 UOT589842:UOT589847 UYP589842:UYP589847 VIL589842:VIL589847 VSH589842:VSH589847 WCD589842:WCD589847 WLZ589842:WLZ589847 WVV589842:WVV589847 N655378:N655383 JJ655378:JJ655383 TF655378:TF655383 ADB655378:ADB655383 AMX655378:AMX655383 AWT655378:AWT655383 BGP655378:BGP655383 BQL655378:BQL655383 CAH655378:CAH655383 CKD655378:CKD655383 CTZ655378:CTZ655383 DDV655378:DDV655383 DNR655378:DNR655383 DXN655378:DXN655383 EHJ655378:EHJ655383 ERF655378:ERF655383 FBB655378:FBB655383 FKX655378:FKX655383 FUT655378:FUT655383 GEP655378:GEP655383 GOL655378:GOL655383 GYH655378:GYH655383 HID655378:HID655383 HRZ655378:HRZ655383 IBV655378:IBV655383 ILR655378:ILR655383 IVN655378:IVN655383 JFJ655378:JFJ655383 JPF655378:JPF655383 JZB655378:JZB655383 KIX655378:KIX655383 KST655378:KST655383 LCP655378:LCP655383 LML655378:LML655383 LWH655378:LWH655383 MGD655378:MGD655383 MPZ655378:MPZ655383 MZV655378:MZV655383 NJR655378:NJR655383 NTN655378:NTN655383 ODJ655378:ODJ655383 ONF655378:ONF655383 OXB655378:OXB655383 PGX655378:PGX655383 PQT655378:PQT655383 QAP655378:QAP655383 QKL655378:QKL655383 QUH655378:QUH655383 RED655378:RED655383 RNZ655378:RNZ655383 RXV655378:RXV655383 SHR655378:SHR655383 SRN655378:SRN655383 TBJ655378:TBJ655383 TLF655378:TLF655383 TVB655378:TVB655383 UEX655378:UEX655383 UOT655378:UOT655383 UYP655378:UYP655383 VIL655378:VIL655383 VSH655378:VSH655383 WCD655378:WCD655383 WLZ655378:WLZ655383 WVV655378:WVV655383 N720914:N720919 JJ720914:JJ720919 TF720914:TF720919 ADB720914:ADB720919 AMX720914:AMX720919 AWT720914:AWT720919 BGP720914:BGP720919 BQL720914:BQL720919 CAH720914:CAH720919 CKD720914:CKD720919 CTZ720914:CTZ720919 DDV720914:DDV720919 DNR720914:DNR720919 DXN720914:DXN720919 EHJ720914:EHJ720919 ERF720914:ERF720919 FBB720914:FBB720919 FKX720914:FKX720919 FUT720914:FUT720919 GEP720914:GEP720919 GOL720914:GOL720919 GYH720914:GYH720919 HID720914:HID720919 HRZ720914:HRZ720919 IBV720914:IBV720919 ILR720914:ILR720919 IVN720914:IVN720919 JFJ720914:JFJ720919 JPF720914:JPF720919 JZB720914:JZB720919 KIX720914:KIX720919 KST720914:KST720919 LCP720914:LCP720919 LML720914:LML720919 LWH720914:LWH720919 MGD720914:MGD720919 MPZ720914:MPZ720919 MZV720914:MZV720919 NJR720914:NJR720919 NTN720914:NTN720919 ODJ720914:ODJ720919 ONF720914:ONF720919 OXB720914:OXB720919 PGX720914:PGX720919 PQT720914:PQT720919 QAP720914:QAP720919 QKL720914:QKL720919 QUH720914:QUH720919 RED720914:RED720919 RNZ720914:RNZ720919 RXV720914:RXV720919 SHR720914:SHR720919 SRN720914:SRN720919 TBJ720914:TBJ720919 TLF720914:TLF720919 TVB720914:TVB720919 UEX720914:UEX720919 UOT720914:UOT720919 UYP720914:UYP720919 VIL720914:VIL720919 VSH720914:VSH720919 WCD720914:WCD720919 WLZ720914:WLZ720919 WVV720914:WVV720919 N786450:N786455 JJ786450:JJ786455 TF786450:TF786455 ADB786450:ADB786455 AMX786450:AMX786455 AWT786450:AWT786455 BGP786450:BGP786455 BQL786450:BQL786455 CAH786450:CAH786455 CKD786450:CKD786455 CTZ786450:CTZ786455 DDV786450:DDV786455 DNR786450:DNR786455 DXN786450:DXN786455 EHJ786450:EHJ786455 ERF786450:ERF786455 FBB786450:FBB786455 FKX786450:FKX786455 FUT786450:FUT786455 GEP786450:GEP786455 GOL786450:GOL786455 GYH786450:GYH786455 HID786450:HID786455 HRZ786450:HRZ786455 IBV786450:IBV786455 ILR786450:ILR786455 IVN786450:IVN786455 JFJ786450:JFJ786455 JPF786450:JPF786455 JZB786450:JZB786455 KIX786450:KIX786455 KST786450:KST786455 LCP786450:LCP786455 LML786450:LML786455 LWH786450:LWH786455 MGD786450:MGD786455 MPZ786450:MPZ786455 MZV786450:MZV786455 NJR786450:NJR786455 NTN786450:NTN786455 ODJ786450:ODJ786455 ONF786450:ONF786455 OXB786450:OXB786455 PGX786450:PGX786455 PQT786450:PQT786455 QAP786450:QAP786455 QKL786450:QKL786455 QUH786450:QUH786455 RED786450:RED786455 RNZ786450:RNZ786455 RXV786450:RXV786455 SHR786450:SHR786455 SRN786450:SRN786455 TBJ786450:TBJ786455 TLF786450:TLF786455 TVB786450:TVB786455 UEX786450:UEX786455 UOT786450:UOT786455 UYP786450:UYP786455 VIL786450:VIL786455 VSH786450:VSH786455 WCD786450:WCD786455 WLZ786450:WLZ786455 WVV786450:WVV786455 N851986:N851991 JJ851986:JJ851991 TF851986:TF851991 ADB851986:ADB851991 AMX851986:AMX851991 AWT851986:AWT851991 BGP851986:BGP851991 BQL851986:BQL851991 CAH851986:CAH851991 CKD851986:CKD851991 CTZ851986:CTZ851991 DDV851986:DDV851991 DNR851986:DNR851991 DXN851986:DXN851991 EHJ851986:EHJ851991 ERF851986:ERF851991 FBB851986:FBB851991 FKX851986:FKX851991 FUT851986:FUT851991 GEP851986:GEP851991 GOL851986:GOL851991 GYH851986:GYH851991 HID851986:HID851991 HRZ851986:HRZ851991 IBV851986:IBV851991 ILR851986:ILR851991 IVN851986:IVN851991 JFJ851986:JFJ851991 JPF851986:JPF851991 JZB851986:JZB851991 KIX851986:KIX851991 KST851986:KST851991 LCP851986:LCP851991 LML851986:LML851991 LWH851986:LWH851991 MGD851986:MGD851991 MPZ851986:MPZ851991 MZV851986:MZV851991 NJR851986:NJR851991 NTN851986:NTN851991 ODJ851986:ODJ851991 ONF851986:ONF851991 OXB851986:OXB851991 PGX851986:PGX851991 PQT851986:PQT851991 QAP851986:QAP851991 QKL851986:QKL851991 QUH851986:QUH851991 RED851986:RED851991 RNZ851986:RNZ851991 RXV851986:RXV851991 SHR851986:SHR851991 SRN851986:SRN851991 TBJ851986:TBJ851991 TLF851986:TLF851991 TVB851986:TVB851991 UEX851986:UEX851991 UOT851986:UOT851991 UYP851986:UYP851991 VIL851986:VIL851991 VSH851986:VSH851991 WCD851986:WCD851991 WLZ851986:WLZ851991 WVV851986:WVV851991 N917522:N917527 JJ917522:JJ917527 TF917522:TF917527 ADB917522:ADB917527 AMX917522:AMX917527 AWT917522:AWT917527 BGP917522:BGP917527 BQL917522:BQL917527 CAH917522:CAH917527 CKD917522:CKD917527 CTZ917522:CTZ917527 DDV917522:DDV917527 DNR917522:DNR917527 DXN917522:DXN917527 EHJ917522:EHJ917527 ERF917522:ERF917527 FBB917522:FBB917527 FKX917522:FKX917527 FUT917522:FUT917527 GEP917522:GEP917527 GOL917522:GOL917527 GYH917522:GYH917527 HID917522:HID917527 HRZ917522:HRZ917527 IBV917522:IBV917527 ILR917522:ILR917527 IVN917522:IVN917527 JFJ917522:JFJ917527 JPF917522:JPF917527 JZB917522:JZB917527 KIX917522:KIX917527 KST917522:KST917527 LCP917522:LCP917527 LML917522:LML917527 LWH917522:LWH917527 MGD917522:MGD917527 MPZ917522:MPZ917527 MZV917522:MZV917527 NJR917522:NJR917527 NTN917522:NTN917527 ODJ917522:ODJ917527 ONF917522:ONF917527 OXB917522:OXB917527 PGX917522:PGX917527 PQT917522:PQT917527 QAP917522:QAP917527 QKL917522:QKL917527 QUH917522:QUH917527 RED917522:RED917527 RNZ917522:RNZ917527 RXV917522:RXV917527 SHR917522:SHR917527 SRN917522:SRN917527 TBJ917522:TBJ917527 TLF917522:TLF917527 TVB917522:TVB917527 UEX917522:UEX917527 UOT917522:UOT917527 UYP917522:UYP917527 VIL917522:VIL917527 VSH917522:VSH917527 WCD917522:WCD917527 WLZ917522:WLZ917527 WVV917522:WVV917527 N983058:N983063 JJ983058:JJ983063 TF983058:TF983063 ADB983058:ADB983063 AMX983058:AMX983063 AWT983058:AWT983063 BGP983058:BGP983063 BQL983058:BQL983063 CAH983058:CAH983063 CKD983058:CKD983063 CTZ983058:CTZ983063 DDV983058:DDV983063 DNR983058:DNR983063 DXN983058:DXN983063 EHJ983058:EHJ983063 ERF983058:ERF983063 FBB983058:FBB983063 FKX983058:FKX983063 FUT983058:FUT983063 GEP983058:GEP983063 GOL983058:GOL983063 GYH983058:GYH983063 HID983058:HID983063 HRZ983058:HRZ983063 IBV983058:IBV983063 ILR983058:ILR983063 IVN983058:IVN983063 JFJ983058:JFJ983063 JPF983058:JPF983063 JZB983058:JZB983063 KIX983058:KIX983063 KST983058:KST983063 LCP983058:LCP983063 LML983058:LML983063 LWH983058:LWH983063 MGD983058:MGD983063 MPZ983058:MPZ983063 MZV983058:MZV983063 NJR983058:NJR983063 NTN983058:NTN983063 ODJ983058:ODJ983063 ONF983058:ONF983063 OXB983058:OXB983063 PGX983058:PGX983063 PQT983058:PQT983063 QAP983058:QAP983063 QKL983058:QKL983063 QUH983058:QUH983063 RED983058:RED983063 RNZ983058:RNZ983063 RXV983058:RXV983063 SHR983058:SHR983063 SRN983058:SRN983063 TBJ983058:TBJ983063 TLF983058:TLF983063 TVB983058:TVB983063 UEX983058:UEX983063 UOT983058:UOT983063 UYP983058:UYP983063 VIL983058:VIL983063 VSH983058:VSH983063 WCD983058:WCD983063 WLZ983058:WLZ983063 WVV983058:WVV983063">
      <formula1>0</formula1>
      <formula2>1</formula2>
    </dataValidation>
  </dataValidations>
  <pageMargins left="0.78740157480314965" right="0.78740157480314965" top="0.78740157480314965" bottom="0.78740157480314965" header="0" footer="0"/>
  <pageSetup paperSize="9" scale="75" orientation="portrait" verticalDpi="597" r:id="rId1"/>
  <headerFooter alignWithMargins="0">
    <oddFooter>&amp;L27.476 v003  micro&amp;R&amp;P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8</xdr:col>
                    <xdr:colOff>220980</xdr:colOff>
                    <xdr:row>28</xdr:row>
                    <xdr:rowOff>15240</xdr:rowOff>
                  </from>
                  <to>
                    <xdr:col>8</xdr:col>
                    <xdr:colOff>464820</xdr:colOff>
                    <xdr:row>28</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D33" sqref="D33"/>
    </sheetView>
  </sheetViews>
  <sheetFormatPr defaultRowHeight="14.4" x14ac:dyDescent="0.3"/>
  <cols>
    <col min="1" max="1" width="25.6640625" customWidth="1"/>
    <col min="2" max="2" width="18.44140625" customWidth="1"/>
    <col min="3" max="3" width="28.109375" customWidth="1"/>
    <col min="6" max="7" width="10.6640625" bestFit="1" customWidth="1"/>
    <col min="9" max="9" width="10.6640625" customWidth="1"/>
  </cols>
  <sheetData>
    <row r="1" spans="2:14" x14ac:dyDescent="0.3">
      <c r="B1" s="11" t="s">
        <v>208</v>
      </c>
      <c r="C1" s="78"/>
    </row>
    <row r="2" spans="2:14" x14ac:dyDescent="0.3">
      <c r="B2" s="78"/>
      <c r="C2" s="78"/>
    </row>
    <row r="3" spans="2:14" x14ac:dyDescent="0.3">
      <c r="B3" s="11" t="s">
        <v>205</v>
      </c>
      <c r="C3" s="11">
        <f>SUM(0.2*0.15*3.3)*2+(0.2*0.15*2.7)+((0.5*0.5*0.3)*2)+((1*0.2*0.15)*2)</f>
        <v>0.48899999999999993</v>
      </c>
      <c r="D3" s="11" t="s">
        <v>206</v>
      </c>
      <c r="I3" t="s">
        <v>214</v>
      </c>
      <c r="J3">
        <f>SUM(0.2*0.15*3.3)*2</f>
        <v>0.19799999999999998</v>
      </c>
    </row>
    <row r="4" spans="2:14" x14ac:dyDescent="0.3">
      <c r="B4" s="11"/>
      <c r="C4" s="11"/>
      <c r="I4" t="s">
        <v>215</v>
      </c>
      <c r="J4">
        <f>SUM(0.2*0.15*2.7)</f>
        <v>8.1000000000000003E-2</v>
      </c>
    </row>
    <row r="5" spans="2:14" ht="29.25" customHeight="1" x14ac:dyDescent="0.3">
      <c r="B5" s="11" t="s">
        <v>207</v>
      </c>
      <c r="C5" s="11">
        <f>SUM(11.7+11.7)+((5.8*0.3)*2) +(3*0.3*2)+(1.5*0.3)</f>
        <v>29.13</v>
      </c>
      <c r="D5" s="11" t="s">
        <v>206</v>
      </c>
      <c r="I5" s="27" t="s">
        <v>155</v>
      </c>
      <c r="J5">
        <f>SUM(0.2*0.15*1)*2</f>
        <v>0.06</v>
      </c>
    </row>
    <row r="6" spans="2:14" x14ac:dyDescent="0.3">
      <c r="I6" t="s">
        <v>216</v>
      </c>
      <c r="J6">
        <f>SUM((0.5*0.5*0.3)*2)</f>
        <v>0.15</v>
      </c>
    </row>
    <row r="7" spans="2:14" x14ac:dyDescent="0.3">
      <c r="I7" t="s">
        <v>192</v>
      </c>
      <c r="J7">
        <f>SUM(J3:J6)</f>
        <v>0.48899999999999999</v>
      </c>
      <c r="K7" t="s">
        <v>206</v>
      </c>
    </row>
    <row r="8" spans="2:14" ht="57.6" x14ac:dyDescent="0.3">
      <c r="B8" s="79" t="s">
        <v>213</v>
      </c>
      <c r="C8" s="80" t="s">
        <v>212</v>
      </c>
      <c r="D8" s="19" t="s">
        <v>74</v>
      </c>
      <c r="E8" s="11">
        <v>97.1</v>
      </c>
      <c r="F8" s="81">
        <v>18</v>
      </c>
      <c r="G8" s="81">
        <f>SUM(E8*F8)</f>
        <v>1747.8</v>
      </c>
      <c r="H8" s="82"/>
      <c r="I8" s="81"/>
      <c r="J8" s="81"/>
      <c r="K8" s="81"/>
      <c r="M8" s="81"/>
      <c r="N8" s="81"/>
    </row>
    <row r="9" spans="2:14" ht="57.6" x14ac:dyDescent="0.3">
      <c r="B9" s="79" t="s">
        <v>213</v>
      </c>
      <c r="C9" s="80" t="s">
        <v>209</v>
      </c>
      <c r="D9" s="19" t="s">
        <v>74</v>
      </c>
      <c r="E9" s="11">
        <v>291.3</v>
      </c>
      <c r="F9" s="81">
        <v>12.99</v>
      </c>
      <c r="G9" s="81">
        <f>SUM(E9*F9)</f>
        <v>3783.9870000000001</v>
      </c>
      <c r="H9" s="82"/>
      <c r="I9" s="81"/>
      <c r="J9" s="81"/>
      <c r="K9" s="81"/>
      <c r="M9" s="81"/>
      <c r="N9" s="81"/>
    </row>
    <row r="10" spans="2:14" ht="68.25" customHeight="1" x14ac:dyDescent="0.3">
      <c r="B10" s="79" t="s">
        <v>213</v>
      </c>
      <c r="C10" s="80" t="s">
        <v>210</v>
      </c>
      <c r="D10" s="19" t="s">
        <v>74</v>
      </c>
      <c r="E10" s="11">
        <v>291.3</v>
      </c>
      <c r="F10" s="81">
        <v>16.989999999999998</v>
      </c>
      <c r="G10" s="81">
        <f>SUM(E10*F10)</f>
        <v>4949.1869999999999</v>
      </c>
      <c r="H10" s="82"/>
      <c r="I10" s="81"/>
      <c r="J10" s="81"/>
      <c r="K10" s="81"/>
      <c r="M10" s="81"/>
      <c r="N10" s="81"/>
    </row>
    <row r="11" spans="2:14" x14ac:dyDescent="0.3">
      <c r="G11" s="75">
        <f>SUM(G8:G10)/3</f>
        <v>3493.6579999999999</v>
      </c>
      <c r="K11" s="75"/>
    </row>
    <row r="15" spans="2:14" ht="64.5" customHeight="1" x14ac:dyDescent="0.3">
      <c r="B15" s="11">
        <v>102213</v>
      </c>
      <c r="C15" s="63" t="s">
        <v>187</v>
      </c>
      <c r="D15" s="11" t="s">
        <v>186</v>
      </c>
      <c r="E15" s="11">
        <v>29.13</v>
      </c>
      <c r="F15" s="11">
        <v>17.46</v>
      </c>
      <c r="G15" s="81">
        <f>SUM(E15*F15)</f>
        <v>508.60980000000001</v>
      </c>
    </row>
    <row r="16" spans="2:14" ht="75" customHeight="1" x14ac:dyDescent="0.3">
      <c r="B16" s="11">
        <v>88273</v>
      </c>
      <c r="C16" s="63" t="s">
        <v>217</v>
      </c>
      <c r="D16" s="11" t="s">
        <v>183</v>
      </c>
      <c r="E16" s="11">
        <v>6</v>
      </c>
      <c r="F16" s="11">
        <v>28.82</v>
      </c>
      <c r="G16" s="11">
        <f>SUM(E16*F16)</f>
        <v>172.92000000000002</v>
      </c>
    </row>
    <row r="17" spans="1:7" x14ac:dyDescent="0.3">
      <c r="C17" s="24"/>
      <c r="G17" s="81"/>
    </row>
    <row r="18" spans="1:7" x14ac:dyDescent="0.3">
      <c r="C18" s="24"/>
      <c r="G18" s="11"/>
    </row>
    <row r="19" spans="1:7" x14ac:dyDescent="0.3">
      <c r="C19" s="24"/>
      <c r="G19" s="81"/>
    </row>
    <row r="20" spans="1:7" ht="50.25" customHeight="1" x14ac:dyDescent="0.3">
      <c r="A20" s="14" t="s">
        <v>98</v>
      </c>
      <c r="B20" s="4">
        <v>40088</v>
      </c>
      <c r="C20" s="2" t="s">
        <v>221</v>
      </c>
      <c r="D20" s="4" t="s">
        <v>119</v>
      </c>
      <c r="E20" s="11">
        <f>SUM(0.2*0.15*3.3)*2</f>
        <v>0.19799999999999998</v>
      </c>
      <c r="F20" s="19">
        <v>2230.13</v>
      </c>
      <c r="G20" s="11">
        <f t="shared" ref="G20:G23" si="0">SUM(E20*F20)</f>
        <v>441.56574000000001</v>
      </c>
    </row>
    <row r="21" spans="1:7" ht="45.75" customHeight="1" x14ac:dyDescent="0.3">
      <c r="A21" s="14" t="s">
        <v>98</v>
      </c>
      <c r="B21" s="4">
        <v>40088</v>
      </c>
      <c r="C21" s="2" t="s">
        <v>222</v>
      </c>
      <c r="D21" s="4" t="s">
        <v>119</v>
      </c>
      <c r="E21" s="11">
        <f>SUM(0.2*0.15*2.7)</f>
        <v>8.1000000000000003E-2</v>
      </c>
      <c r="F21" s="19">
        <v>2230.13</v>
      </c>
      <c r="G21" s="81">
        <f t="shared" si="0"/>
        <v>180.64053000000001</v>
      </c>
    </row>
    <row r="22" spans="1:7" ht="41.4" x14ac:dyDescent="0.3">
      <c r="A22" s="14" t="s">
        <v>98</v>
      </c>
      <c r="B22" s="4">
        <v>42612</v>
      </c>
      <c r="C22" s="2" t="s">
        <v>220</v>
      </c>
      <c r="D22" s="4" t="s">
        <v>119</v>
      </c>
      <c r="E22" s="11">
        <f>SUM((0.5*0.5*0.3)*2)</f>
        <v>0.15</v>
      </c>
      <c r="F22" s="19">
        <v>1670.39</v>
      </c>
      <c r="G22" s="11">
        <f t="shared" si="0"/>
        <v>250.55850000000001</v>
      </c>
    </row>
    <row r="23" spans="1:7" ht="55.2" x14ac:dyDescent="0.3">
      <c r="A23" s="14" t="s">
        <v>98</v>
      </c>
      <c r="B23" s="4">
        <v>40088</v>
      </c>
      <c r="C23" s="2" t="s">
        <v>225</v>
      </c>
      <c r="D23" s="4" t="s">
        <v>119</v>
      </c>
      <c r="E23" s="11">
        <f>SUM((1*0.2*0.15)*2)</f>
        <v>0.06</v>
      </c>
      <c r="F23" s="19">
        <v>2230.13</v>
      </c>
      <c r="G23" s="81">
        <f t="shared" si="0"/>
        <v>133.80780000000001</v>
      </c>
    </row>
    <row r="25" spans="1:7" x14ac:dyDescent="0.3">
      <c r="F25" s="78" t="s">
        <v>192</v>
      </c>
      <c r="G25" s="84">
        <f>SUM(G11:G23)</f>
        <v>5181.7603699999991</v>
      </c>
    </row>
    <row r="33" spans="4:4" x14ac:dyDescent="0.3">
      <c r="D33">
        <v>5181.76</v>
      </c>
    </row>
  </sheetData>
  <hyperlinks>
    <hyperlink ref="C8" r:id="rId1"/>
    <hyperlink ref="C9" r:id="rId2"/>
    <hyperlink ref="C10" r:id="rId3"/>
  </hyperlink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4"/>
  <sheetViews>
    <sheetView zoomScale="80" zoomScaleNormal="80" workbookViewId="0">
      <selection activeCell="A3" sqref="A3:D3"/>
    </sheetView>
  </sheetViews>
  <sheetFormatPr defaultRowHeight="14.4" x14ac:dyDescent="0.3"/>
  <cols>
    <col min="1" max="1" width="5.33203125" customWidth="1"/>
    <col min="2" max="2" width="14.109375" style="12" customWidth="1"/>
    <col min="3" max="3" width="8.109375" style="12" customWidth="1"/>
    <col min="4" max="4" width="41.5546875" style="44" customWidth="1"/>
    <col min="5" max="5" width="6.6640625" style="12" customWidth="1"/>
    <col min="6" max="6" width="6.44140625" style="12" customWidth="1"/>
    <col min="7" max="7" width="9.44140625" style="12" customWidth="1"/>
    <col min="8" max="8" width="11.109375" style="12" customWidth="1"/>
    <col min="9" max="9" width="9.44140625" style="60" customWidth="1"/>
    <col min="10" max="10" width="10.33203125" style="60" customWidth="1"/>
    <col min="11" max="11" width="7.77734375" customWidth="1"/>
    <col min="12" max="12" width="13.21875" customWidth="1"/>
    <col min="13" max="13" width="16.5546875" customWidth="1"/>
  </cols>
  <sheetData>
    <row r="1" spans="1:12" ht="16.5" customHeight="1" x14ac:dyDescent="0.3">
      <c r="A1" s="210" t="s">
        <v>0</v>
      </c>
      <c r="B1" s="211"/>
      <c r="C1" s="211"/>
      <c r="D1" s="211"/>
      <c r="E1" s="238"/>
      <c r="F1" s="238"/>
      <c r="G1" s="238"/>
      <c r="H1" s="238"/>
      <c r="I1" s="238"/>
      <c r="J1" s="238"/>
      <c r="K1" s="238"/>
      <c r="L1" s="239"/>
    </row>
    <row r="2" spans="1:12" ht="21.75" customHeight="1" x14ac:dyDescent="0.3">
      <c r="A2" s="212" t="s">
        <v>337</v>
      </c>
      <c r="B2" s="213"/>
      <c r="C2" s="213"/>
      <c r="D2" s="213"/>
      <c r="E2" s="240"/>
      <c r="F2" s="240"/>
      <c r="G2" s="240"/>
      <c r="H2" s="240"/>
      <c r="I2" s="240"/>
      <c r="J2" s="240"/>
      <c r="K2" s="240"/>
      <c r="L2" s="241"/>
    </row>
    <row r="3" spans="1:12" ht="16.5" customHeight="1" x14ac:dyDescent="0.3">
      <c r="A3" s="212" t="s">
        <v>2</v>
      </c>
      <c r="B3" s="213"/>
      <c r="C3" s="213"/>
      <c r="D3" s="213"/>
      <c r="E3" s="240"/>
      <c r="F3" s="240"/>
      <c r="G3" s="240"/>
      <c r="H3" s="240"/>
      <c r="I3" s="240"/>
      <c r="J3" s="240"/>
      <c r="K3" s="240"/>
      <c r="L3" s="241"/>
    </row>
    <row r="4" spans="1:12" ht="16.5" customHeight="1" x14ac:dyDescent="0.3">
      <c r="A4" s="244" t="s">
        <v>349</v>
      </c>
      <c r="B4" s="245"/>
      <c r="C4" s="245"/>
      <c r="D4" s="245"/>
      <c r="E4" s="245"/>
      <c r="F4" s="245"/>
      <c r="G4" s="245"/>
      <c r="H4" s="245"/>
      <c r="I4" s="245"/>
      <c r="J4" s="245"/>
      <c r="K4" s="245"/>
      <c r="L4" s="245"/>
    </row>
    <row r="5" spans="1:12" ht="16.5" customHeight="1" x14ac:dyDescent="0.3">
      <c r="A5" s="212" t="s">
        <v>340</v>
      </c>
      <c r="B5" s="213"/>
      <c r="C5" s="213"/>
      <c r="D5" s="213"/>
      <c r="E5" s="240"/>
      <c r="F5" s="240"/>
      <c r="G5" s="240"/>
      <c r="H5" s="240"/>
      <c r="I5" s="240"/>
      <c r="J5" s="240"/>
      <c r="K5" s="240"/>
      <c r="L5" s="241"/>
    </row>
    <row r="6" spans="1:12" ht="15.75" customHeight="1" x14ac:dyDescent="0.3">
      <c r="A6" s="216" t="s">
        <v>1</v>
      </c>
      <c r="B6" s="217"/>
      <c r="C6" s="217"/>
      <c r="D6" s="136">
        <f>L107</f>
        <v>172950.50198366502</v>
      </c>
      <c r="E6" s="242"/>
      <c r="F6" s="242"/>
      <c r="G6" s="242"/>
      <c r="H6" s="242"/>
      <c r="I6" s="242"/>
      <c r="J6" s="242"/>
      <c r="K6" s="242"/>
      <c r="L6" s="243"/>
    </row>
    <row r="7" spans="1:12" x14ac:dyDescent="0.3">
      <c r="A7" s="7"/>
      <c r="H7" s="21"/>
      <c r="I7" s="59"/>
    </row>
    <row r="8" spans="1:12" ht="16.5" customHeight="1" x14ac:dyDescent="0.3">
      <c r="A8" s="221" t="s">
        <v>3</v>
      </c>
      <c r="B8" s="221" t="s">
        <v>4</v>
      </c>
      <c r="C8" s="221" t="s">
        <v>5</v>
      </c>
      <c r="D8" s="221" t="s">
        <v>6</v>
      </c>
      <c r="E8" s="221" t="s">
        <v>7</v>
      </c>
      <c r="F8" s="221" t="s">
        <v>8</v>
      </c>
      <c r="G8" s="222" t="s">
        <v>9</v>
      </c>
      <c r="H8" s="225" t="s">
        <v>10</v>
      </c>
      <c r="I8" s="226"/>
      <c r="J8" s="226"/>
      <c r="K8" s="227"/>
      <c r="L8" s="222" t="s">
        <v>343</v>
      </c>
    </row>
    <row r="9" spans="1:12" x14ac:dyDescent="0.3">
      <c r="A9" s="221"/>
      <c r="B9" s="221"/>
      <c r="C9" s="221"/>
      <c r="D9" s="221"/>
      <c r="E9" s="221"/>
      <c r="F9" s="221"/>
      <c r="G9" s="223"/>
      <c r="H9" s="22" t="s">
        <v>11</v>
      </c>
      <c r="I9" s="61" t="s">
        <v>12</v>
      </c>
      <c r="J9" s="61" t="s">
        <v>13</v>
      </c>
      <c r="K9" s="1" t="s">
        <v>342</v>
      </c>
      <c r="L9" s="223"/>
    </row>
    <row r="10" spans="1:12" ht="28.5" customHeight="1" x14ac:dyDescent="0.3">
      <c r="A10" s="9">
        <v>1</v>
      </c>
      <c r="B10" s="224" t="s">
        <v>14</v>
      </c>
      <c r="C10" s="224"/>
      <c r="D10" s="224"/>
      <c r="E10" s="218"/>
      <c r="F10" s="219"/>
      <c r="G10" s="219"/>
      <c r="H10" s="219"/>
      <c r="I10" s="219"/>
      <c r="J10" s="219"/>
      <c r="K10" s="219"/>
      <c r="L10" s="220"/>
    </row>
    <row r="11" spans="1:12" ht="36.75" customHeight="1" x14ac:dyDescent="0.3">
      <c r="A11" s="3" t="s">
        <v>20</v>
      </c>
      <c r="B11" s="17" t="s">
        <v>16</v>
      </c>
      <c r="C11" s="17">
        <v>4813</v>
      </c>
      <c r="D11" s="51" t="s">
        <v>15</v>
      </c>
      <c r="E11" s="5" t="s">
        <v>74</v>
      </c>
      <c r="F11" s="88">
        <v>1</v>
      </c>
      <c r="G11" s="88">
        <v>200</v>
      </c>
      <c r="H11" s="88">
        <f>SUM(F11*G11)</f>
        <v>200</v>
      </c>
      <c r="I11" s="88">
        <f>H11*62.21%</f>
        <v>124.42</v>
      </c>
      <c r="J11" s="88">
        <f>H11*37.79%</f>
        <v>75.58</v>
      </c>
      <c r="K11" s="88">
        <v>0.25650000000000001</v>
      </c>
      <c r="L11" s="138">
        <f>H11*K11+H11</f>
        <v>251.3</v>
      </c>
    </row>
    <row r="12" spans="1:12" ht="66.75" customHeight="1" x14ac:dyDescent="0.3">
      <c r="A12" s="3" t="s">
        <v>21</v>
      </c>
      <c r="B12" s="2" t="s">
        <v>16</v>
      </c>
      <c r="C12" s="2">
        <v>95635</v>
      </c>
      <c r="D12" s="17" t="s">
        <v>120</v>
      </c>
      <c r="E12" s="5" t="s">
        <v>74</v>
      </c>
      <c r="F12" s="88">
        <v>1</v>
      </c>
      <c r="G12" s="88">
        <v>161.12</v>
      </c>
      <c r="H12" s="88">
        <f>SUM(F12*G12)</f>
        <v>161.12</v>
      </c>
      <c r="I12" s="88">
        <f t="shared" ref="I12" si="0">H12*62.21%</f>
        <v>100.232752</v>
      </c>
      <c r="J12" s="88">
        <f t="shared" ref="J12" si="1">H12*37.79%</f>
        <v>60.887248000000007</v>
      </c>
      <c r="K12" s="88">
        <v>0.25650000000000001</v>
      </c>
      <c r="L12" s="138">
        <f t="shared" ref="L12:L14" si="2">H12*K12+H12</f>
        <v>202.44728000000001</v>
      </c>
    </row>
    <row r="13" spans="1:12" ht="69" customHeight="1" x14ac:dyDescent="0.3">
      <c r="A13" s="3" t="s">
        <v>22</v>
      </c>
      <c r="B13" s="2" t="s">
        <v>16</v>
      </c>
      <c r="C13" s="2">
        <v>99059</v>
      </c>
      <c r="D13" s="17" t="s">
        <v>19</v>
      </c>
      <c r="E13" s="5" t="s">
        <v>73</v>
      </c>
      <c r="F13" s="88">
        <v>59.96</v>
      </c>
      <c r="G13" s="88">
        <v>56.49</v>
      </c>
      <c r="H13" s="88">
        <f t="shared" ref="H13:H104" si="3">SUM(F13*G13)</f>
        <v>3387.1404000000002</v>
      </c>
      <c r="I13" s="88">
        <f t="shared" ref="I13:I104" si="4">H13*62.21%</f>
        <v>2107.1400428400002</v>
      </c>
      <c r="J13" s="88">
        <f t="shared" ref="J13:J104" si="5">H13*37.79%</f>
        <v>1280.00035716</v>
      </c>
      <c r="K13" s="88">
        <v>0.25650000000000001</v>
      </c>
      <c r="L13" s="138">
        <f t="shared" si="2"/>
        <v>4255.9419126000003</v>
      </c>
    </row>
    <row r="14" spans="1:12" ht="40.5" customHeight="1" x14ac:dyDescent="0.3">
      <c r="A14" s="3"/>
      <c r="B14" s="101" t="s">
        <v>270</v>
      </c>
      <c r="C14" s="202"/>
      <c r="D14" s="203"/>
      <c r="E14" s="203"/>
      <c r="F14" s="203"/>
      <c r="G14" s="204"/>
      <c r="H14" s="88">
        <f t="shared" ref="H14:J14" si="6">SUM(H11:H13)</f>
        <v>3748.2604000000001</v>
      </c>
      <c r="I14" s="88">
        <f t="shared" si="6"/>
        <v>2331.7927948400002</v>
      </c>
      <c r="J14" s="88">
        <f t="shared" si="6"/>
        <v>1416.4676051599999</v>
      </c>
      <c r="K14" s="88">
        <v>0.25650000000000001</v>
      </c>
      <c r="L14" s="150">
        <f t="shared" si="2"/>
        <v>4709.6891925999998</v>
      </c>
    </row>
    <row r="15" spans="1:12" ht="33" customHeight="1" x14ac:dyDescent="0.3">
      <c r="A15" s="16">
        <v>2</v>
      </c>
      <c r="B15" s="208" t="s">
        <v>111</v>
      </c>
      <c r="C15" s="208"/>
      <c r="D15" s="209"/>
      <c r="E15" s="90"/>
      <c r="F15" s="90"/>
      <c r="G15" s="90"/>
      <c r="H15" s="90"/>
      <c r="I15" s="91"/>
      <c r="J15" s="91"/>
      <c r="K15" s="90"/>
      <c r="L15" s="92"/>
    </row>
    <row r="16" spans="1:12" ht="58.5" customHeight="1" x14ac:dyDescent="0.3">
      <c r="A16" s="8" t="s">
        <v>33</v>
      </c>
      <c r="B16" s="14" t="s">
        <v>98</v>
      </c>
      <c r="C16" s="5">
        <v>94265</v>
      </c>
      <c r="D16" s="25" t="s">
        <v>167</v>
      </c>
      <c r="E16" s="5" t="s">
        <v>73</v>
      </c>
      <c r="F16" s="88">
        <v>200</v>
      </c>
      <c r="G16" s="137">
        <v>34.82</v>
      </c>
      <c r="H16" s="88">
        <f t="shared" ref="H16:H23" si="7">SUM(F16*G16)</f>
        <v>6964</v>
      </c>
      <c r="I16" s="88">
        <f t="shared" ref="I16:I23" si="8">H16*62.21%</f>
        <v>4332.3044</v>
      </c>
      <c r="J16" s="88">
        <f t="shared" ref="J16:J23" si="9">H16*37.79%</f>
        <v>2631.6956</v>
      </c>
      <c r="K16" s="88">
        <v>0.25650000000000001</v>
      </c>
      <c r="L16" s="138">
        <f>H16*K16+H16</f>
        <v>8750.2659999999996</v>
      </c>
    </row>
    <row r="17" spans="1:12" ht="48.75" customHeight="1" x14ac:dyDescent="0.3">
      <c r="A17" s="8" t="s">
        <v>34</v>
      </c>
      <c r="B17" s="14" t="s">
        <v>98</v>
      </c>
      <c r="C17" s="5">
        <v>42612</v>
      </c>
      <c r="D17" s="2" t="s">
        <v>220</v>
      </c>
      <c r="E17" s="5" t="s">
        <v>119</v>
      </c>
      <c r="F17" s="88">
        <v>0.59599999999999997</v>
      </c>
      <c r="G17" s="137">
        <v>1670.39</v>
      </c>
      <c r="H17" s="88">
        <f t="shared" si="7"/>
        <v>995.55244000000005</v>
      </c>
      <c r="I17" s="88">
        <f t="shared" si="8"/>
        <v>619.333172924</v>
      </c>
      <c r="J17" s="88">
        <f t="shared" si="9"/>
        <v>376.21926707600005</v>
      </c>
      <c r="K17" s="88">
        <v>0.25650000000000001</v>
      </c>
      <c r="L17" s="138">
        <f t="shared" ref="L17:L24" si="10">H17*K17+H17</f>
        <v>1250.91164086</v>
      </c>
    </row>
    <row r="18" spans="1:12" ht="55.5" customHeight="1" x14ac:dyDescent="0.3">
      <c r="A18" s="8" t="s">
        <v>35</v>
      </c>
      <c r="B18" s="14" t="s">
        <v>98</v>
      </c>
      <c r="C18" s="5">
        <v>40088</v>
      </c>
      <c r="D18" s="2" t="s">
        <v>224</v>
      </c>
      <c r="E18" s="5" t="s">
        <v>119</v>
      </c>
      <c r="F18" s="88">
        <v>5.5E-2</v>
      </c>
      <c r="G18" s="137">
        <v>2230.13</v>
      </c>
      <c r="H18" s="88">
        <f t="shared" si="7"/>
        <v>122.65715</v>
      </c>
      <c r="I18" s="88">
        <f t="shared" si="8"/>
        <v>76.305013015</v>
      </c>
      <c r="J18" s="88">
        <f t="shared" si="9"/>
        <v>46.352136985000001</v>
      </c>
      <c r="K18" s="88">
        <v>0.25650000000000001</v>
      </c>
      <c r="L18" s="138">
        <f t="shared" si="10"/>
        <v>154.118708975</v>
      </c>
    </row>
    <row r="19" spans="1:12" ht="39" customHeight="1" x14ac:dyDescent="0.3">
      <c r="A19" s="8" t="s">
        <v>36</v>
      </c>
      <c r="B19" s="14" t="s">
        <v>98</v>
      </c>
      <c r="C19" s="5">
        <v>42611</v>
      </c>
      <c r="D19" s="2" t="s">
        <v>219</v>
      </c>
      <c r="E19" s="5" t="s">
        <v>119</v>
      </c>
      <c r="F19" s="88">
        <v>1.33</v>
      </c>
      <c r="G19" s="137">
        <v>2115.0300000000002</v>
      </c>
      <c r="H19" s="88">
        <f t="shared" si="7"/>
        <v>2812.9899000000005</v>
      </c>
      <c r="I19" s="88">
        <f t="shared" si="8"/>
        <v>1749.9610167900003</v>
      </c>
      <c r="J19" s="88">
        <f t="shared" si="9"/>
        <v>1063.0288832100002</v>
      </c>
      <c r="K19" s="88">
        <v>0.25650000000000001</v>
      </c>
      <c r="L19" s="138">
        <f t="shared" si="10"/>
        <v>3534.5218093500007</v>
      </c>
    </row>
    <row r="20" spans="1:12" ht="35.25" customHeight="1" x14ac:dyDescent="0.3">
      <c r="A20" s="8" t="s">
        <v>37</v>
      </c>
      <c r="B20" s="14" t="s">
        <v>98</v>
      </c>
      <c r="C20" s="5">
        <v>40088</v>
      </c>
      <c r="D20" s="2" t="s">
        <v>221</v>
      </c>
      <c r="E20" s="5" t="s">
        <v>119</v>
      </c>
      <c r="F20" s="88">
        <v>0.36</v>
      </c>
      <c r="G20" s="137">
        <v>2230.13</v>
      </c>
      <c r="H20" s="88">
        <f t="shared" si="7"/>
        <v>802.84680000000003</v>
      </c>
      <c r="I20" s="88">
        <f t="shared" si="8"/>
        <v>499.45099428000003</v>
      </c>
      <c r="J20" s="88">
        <f t="shared" si="9"/>
        <v>303.39580572</v>
      </c>
      <c r="K20" s="88">
        <v>0.25650000000000001</v>
      </c>
      <c r="L20" s="138">
        <f t="shared" si="10"/>
        <v>1008.7770042000001</v>
      </c>
    </row>
    <row r="21" spans="1:12" ht="27.6" x14ac:dyDescent="0.3">
      <c r="A21" s="8" t="s">
        <v>38</v>
      </c>
      <c r="B21" s="14" t="s">
        <v>98</v>
      </c>
      <c r="C21" s="5">
        <v>40088</v>
      </c>
      <c r="D21" s="2" t="s">
        <v>222</v>
      </c>
      <c r="E21" s="5" t="s">
        <v>119</v>
      </c>
      <c r="F21" s="88">
        <v>0.41</v>
      </c>
      <c r="G21" s="137">
        <v>2230.13</v>
      </c>
      <c r="H21" s="88">
        <f t="shared" si="7"/>
        <v>914.35329999999999</v>
      </c>
      <c r="I21" s="88">
        <f t="shared" si="8"/>
        <v>568.81918793</v>
      </c>
      <c r="J21" s="88">
        <f t="shared" si="9"/>
        <v>345.53411206999999</v>
      </c>
      <c r="K21" s="88">
        <v>0.25650000000000001</v>
      </c>
      <c r="L21" s="138">
        <f t="shared" si="10"/>
        <v>1148.8849214500001</v>
      </c>
    </row>
    <row r="22" spans="1:12" ht="42.75" customHeight="1" x14ac:dyDescent="0.3">
      <c r="A22" s="8" t="s">
        <v>39</v>
      </c>
      <c r="B22" s="14" t="s">
        <v>98</v>
      </c>
      <c r="C22" s="5">
        <v>42644</v>
      </c>
      <c r="D22" s="38" t="s">
        <v>223</v>
      </c>
      <c r="E22" s="5" t="s">
        <v>119</v>
      </c>
      <c r="F22" s="88">
        <v>1.4259999999999999</v>
      </c>
      <c r="G22" s="137">
        <v>1410.17</v>
      </c>
      <c r="H22" s="88">
        <f t="shared" si="7"/>
        <v>2010.9024200000001</v>
      </c>
      <c r="I22" s="88">
        <f t="shared" si="8"/>
        <v>1250.9823954820001</v>
      </c>
      <c r="J22" s="88">
        <f t="shared" si="9"/>
        <v>759.9200245180001</v>
      </c>
      <c r="K22" s="88">
        <v>0.25650000000000001</v>
      </c>
      <c r="L22" s="138">
        <f t="shared" si="10"/>
        <v>2526.6988907300001</v>
      </c>
    </row>
    <row r="23" spans="1:12" ht="50.25" customHeight="1" x14ac:dyDescent="0.3">
      <c r="A23" s="8" t="s">
        <v>40</v>
      </c>
      <c r="B23" s="2" t="s">
        <v>16</v>
      </c>
      <c r="C23" s="5">
        <v>98562</v>
      </c>
      <c r="D23" s="5" t="s">
        <v>242</v>
      </c>
      <c r="E23" s="5" t="s">
        <v>117</v>
      </c>
      <c r="F23" s="88">
        <v>23.7</v>
      </c>
      <c r="G23" s="137">
        <v>33.71</v>
      </c>
      <c r="H23" s="88">
        <f t="shared" si="7"/>
        <v>798.92700000000002</v>
      </c>
      <c r="I23" s="88">
        <f t="shared" si="8"/>
        <v>497.01248670000001</v>
      </c>
      <c r="J23" s="88">
        <f t="shared" si="9"/>
        <v>301.91451330000001</v>
      </c>
      <c r="K23" s="88">
        <v>0.25650000000000001</v>
      </c>
      <c r="L23" s="138">
        <f t="shared" si="10"/>
        <v>1003.8517755</v>
      </c>
    </row>
    <row r="24" spans="1:12" ht="41.25" customHeight="1" x14ac:dyDescent="0.3">
      <c r="A24" s="3"/>
      <c r="B24" s="101" t="s">
        <v>270</v>
      </c>
      <c r="C24" s="202"/>
      <c r="D24" s="203"/>
      <c r="E24" s="203"/>
      <c r="F24" s="203"/>
      <c r="G24" s="204"/>
      <c r="H24" s="88">
        <f>SUM(H16:H23)</f>
        <v>15422.229010000001</v>
      </c>
      <c r="I24" s="88">
        <f>SUM(I16:I23)</f>
        <v>9594.1686671209991</v>
      </c>
      <c r="J24" s="88">
        <f>SUM(J16:J23)</f>
        <v>5828.060342879</v>
      </c>
      <c r="K24" s="88">
        <v>0.25650000000000001</v>
      </c>
      <c r="L24" s="150">
        <f t="shared" si="10"/>
        <v>19378.030751065002</v>
      </c>
    </row>
    <row r="25" spans="1:12" ht="42" customHeight="1" x14ac:dyDescent="0.3">
      <c r="A25" s="50">
        <v>3</v>
      </c>
      <c r="B25" s="209" t="s">
        <v>88</v>
      </c>
      <c r="C25" s="214"/>
      <c r="D25" s="214"/>
      <c r="E25" s="90"/>
      <c r="F25" s="90"/>
      <c r="G25" s="90"/>
      <c r="H25" s="90"/>
      <c r="I25" s="91"/>
      <c r="J25" s="91"/>
      <c r="K25" s="90"/>
      <c r="L25" s="92"/>
    </row>
    <row r="26" spans="1:12" ht="137.25" customHeight="1" x14ac:dyDescent="0.3">
      <c r="A26" s="8" t="s">
        <v>46</v>
      </c>
      <c r="B26" s="2" t="s">
        <v>16</v>
      </c>
      <c r="C26" s="5">
        <v>87473</v>
      </c>
      <c r="D26" s="52" t="s">
        <v>82</v>
      </c>
      <c r="E26" s="5" t="s">
        <v>117</v>
      </c>
      <c r="F26" s="88">
        <v>52</v>
      </c>
      <c r="G26" s="88">
        <v>74.03</v>
      </c>
      <c r="H26" s="88">
        <f t="shared" ref="H26:H38" si="11">SUM(F26*G26)</f>
        <v>3849.56</v>
      </c>
      <c r="I26" s="88">
        <f t="shared" ref="I26:I38" si="12">H26*62.21%</f>
        <v>2394.8112759999999</v>
      </c>
      <c r="J26" s="88">
        <f t="shared" ref="J26:J38" si="13">H26*37.79%</f>
        <v>1454.748724</v>
      </c>
      <c r="K26" s="88">
        <v>0.25650000000000001</v>
      </c>
      <c r="L26" s="138">
        <f>H26*K26+H26</f>
        <v>4836.9721399999999</v>
      </c>
    </row>
    <row r="27" spans="1:12" ht="62.25" customHeight="1" x14ac:dyDescent="0.3">
      <c r="A27" s="8" t="s">
        <v>47</v>
      </c>
      <c r="B27" s="2" t="s">
        <v>16</v>
      </c>
      <c r="C27" s="5">
        <v>93196</v>
      </c>
      <c r="D27" s="52" t="s">
        <v>83</v>
      </c>
      <c r="E27" s="5" t="s">
        <v>73</v>
      </c>
      <c r="F27" s="88">
        <v>3.25</v>
      </c>
      <c r="G27" s="88">
        <v>84.71</v>
      </c>
      <c r="H27" s="88">
        <f t="shared" si="11"/>
        <v>275.3075</v>
      </c>
      <c r="I27" s="88">
        <f t="shared" si="12"/>
        <v>171.26879575000001</v>
      </c>
      <c r="J27" s="88">
        <f t="shared" si="13"/>
        <v>104.03870425000001</v>
      </c>
      <c r="K27" s="88">
        <v>0.25650000000000001</v>
      </c>
      <c r="L27" s="138">
        <f t="shared" ref="L27:L39" si="14">H27*K27+H27</f>
        <v>345.92387374999998</v>
      </c>
    </row>
    <row r="28" spans="1:12" ht="49.5" customHeight="1" x14ac:dyDescent="0.3">
      <c r="A28" s="8" t="s">
        <v>48</v>
      </c>
      <c r="B28" s="2" t="s">
        <v>16</v>
      </c>
      <c r="C28" s="5">
        <v>93186</v>
      </c>
      <c r="D28" s="52" t="s">
        <v>84</v>
      </c>
      <c r="E28" s="5" t="s">
        <v>73</v>
      </c>
      <c r="F28" s="88">
        <v>3.25</v>
      </c>
      <c r="G28" s="88">
        <v>86.26</v>
      </c>
      <c r="H28" s="88">
        <f t="shared" si="11"/>
        <v>280.34500000000003</v>
      </c>
      <c r="I28" s="88">
        <f t="shared" si="12"/>
        <v>174.4026245</v>
      </c>
      <c r="J28" s="88">
        <f t="shared" si="13"/>
        <v>105.94237550000001</v>
      </c>
      <c r="K28" s="88">
        <v>0.25650000000000001</v>
      </c>
      <c r="L28" s="138">
        <f t="shared" si="14"/>
        <v>352.25349250000005</v>
      </c>
    </row>
    <row r="29" spans="1:12" ht="58.5" customHeight="1" x14ac:dyDescent="0.3">
      <c r="A29" s="8" t="s">
        <v>49</v>
      </c>
      <c r="B29" s="2" t="s">
        <v>16</v>
      </c>
      <c r="C29" s="5">
        <v>93188</v>
      </c>
      <c r="D29" s="52" t="s">
        <v>85</v>
      </c>
      <c r="E29" s="5" t="s">
        <v>73</v>
      </c>
      <c r="F29" s="88">
        <v>2.5</v>
      </c>
      <c r="G29" s="88">
        <v>77.55</v>
      </c>
      <c r="H29" s="88">
        <f t="shared" si="11"/>
        <v>193.875</v>
      </c>
      <c r="I29" s="88">
        <f t="shared" si="12"/>
        <v>120.60963749999999</v>
      </c>
      <c r="J29" s="88">
        <f t="shared" si="13"/>
        <v>73.265362500000009</v>
      </c>
      <c r="K29" s="88">
        <v>0.25650000000000001</v>
      </c>
      <c r="L29" s="138">
        <f t="shared" si="14"/>
        <v>243.6039375</v>
      </c>
    </row>
    <row r="30" spans="1:12" ht="92.25" customHeight="1" x14ac:dyDescent="0.3">
      <c r="A30" s="8" t="s">
        <v>50</v>
      </c>
      <c r="B30" s="2" t="s">
        <v>16</v>
      </c>
      <c r="C30" s="11">
        <v>87879</v>
      </c>
      <c r="D30" s="14" t="s">
        <v>237</v>
      </c>
      <c r="E30" s="11" t="s">
        <v>238</v>
      </c>
      <c r="F30" s="138">
        <v>117.2</v>
      </c>
      <c r="G30" s="139">
        <v>3.54</v>
      </c>
      <c r="H30" s="137">
        <f t="shared" si="11"/>
        <v>414.88800000000003</v>
      </c>
      <c r="I30" s="137">
        <f t="shared" si="12"/>
        <v>258.10182480000003</v>
      </c>
      <c r="J30" s="137">
        <f t="shared" si="13"/>
        <v>156.78617520000003</v>
      </c>
      <c r="K30" s="137">
        <v>0.25650000000000001</v>
      </c>
      <c r="L30" s="138">
        <f t="shared" si="14"/>
        <v>521.30677200000002</v>
      </c>
    </row>
    <row r="31" spans="1:12" ht="129.75" customHeight="1" x14ac:dyDescent="0.3">
      <c r="A31" s="8" t="s">
        <v>51</v>
      </c>
      <c r="B31" s="2" t="s">
        <v>24</v>
      </c>
      <c r="C31" s="5">
        <v>43895</v>
      </c>
      <c r="D31" s="55" t="s">
        <v>241</v>
      </c>
      <c r="E31" s="5" t="s">
        <v>117</v>
      </c>
      <c r="F31" s="140">
        <v>117.12</v>
      </c>
      <c r="G31" s="88">
        <v>23.1</v>
      </c>
      <c r="H31" s="88">
        <f t="shared" si="11"/>
        <v>2705.4720000000002</v>
      </c>
      <c r="I31" s="88">
        <f t="shared" si="12"/>
        <v>1683.0741312</v>
      </c>
      <c r="J31" s="88">
        <f t="shared" si="13"/>
        <v>1022.3978688000001</v>
      </c>
      <c r="K31" s="88">
        <v>0.25650000000000001</v>
      </c>
      <c r="L31" s="138">
        <f t="shared" si="14"/>
        <v>3399.4255680000001</v>
      </c>
    </row>
    <row r="32" spans="1:12" ht="80.25" customHeight="1" x14ac:dyDescent="0.3">
      <c r="A32" s="8" t="s">
        <v>52</v>
      </c>
      <c r="B32" s="2" t="s">
        <v>16</v>
      </c>
      <c r="C32" s="34">
        <v>87257</v>
      </c>
      <c r="D32" s="5" t="s">
        <v>176</v>
      </c>
      <c r="E32" s="5" t="s">
        <v>117</v>
      </c>
      <c r="F32" s="141">
        <v>57.76</v>
      </c>
      <c r="G32" s="88">
        <v>67.59</v>
      </c>
      <c r="H32" s="88">
        <f t="shared" si="11"/>
        <v>3903.9983999999999</v>
      </c>
      <c r="I32" s="88">
        <f t="shared" si="12"/>
        <v>2428.6774046400001</v>
      </c>
      <c r="J32" s="88">
        <f t="shared" si="13"/>
        <v>1475.3209953600001</v>
      </c>
      <c r="K32" s="88">
        <v>0.25650000000000001</v>
      </c>
      <c r="L32" s="138">
        <f t="shared" si="14"/>
        <v>4905.3739895999997</v>
      </c>
    </row>
    <row r="33" spans="1:12" ht="84.75" customHeight="1" x14ac:dyDescent="0.3">
      <c r="A33" s="8" t="s">
        <v>53</v>
      </c>
      <c r="B33" s="2" t="s">
        <v>16</v>
      </c>
      <c r="C33" s="5">
        <v>87255</v>
      </c>
      <c r="D33" s="38" t="s">
        <v>170</v>
      </c>
      <c r="E33" s="5" t="s">
        <v>117</v>
      </c>
      <c r="F33" s="88">
        <v>11.2</v>
      </c>
      <c r="G33" s="88">
        <v>87.86</v>
      </c>
      <c r="H33" s="88">
        <f t="shared" si="11"/>
        <v>984.03199999999993</v>
      </c>
      <c r="I33" s="88">
        <f t="shared" si="12"/>
        <v>612.16630719999989</v>
      </c>
      <c r="J33" s="88">
        <f t="shared" si="13"/>
        <v>371.86569279999998</v>
      </c>
      <c r="K33" s="88">
        <v>0.25650000000000001</v>
      </c>
      <c r="L33" s="138">
        <f t="shared" si="14"/>
        <v>1236.4362079999999</v>
      </c>
    </row>
    <row r="34" spans="1:12" ht="62.25" customHeight="1" x14ac:dyDescent="0.3">
      <c r="A34" s="43" t="s">
        <v>255</v>
      </c>
      <c r="B34" s="2" t="s">
        <v>16</v>
      </c>
      <c r="C34" s="5">
        <v>88489</v>
      </c>
      <c r="D34" s="51" t="s">
        <v>171</v>
      </c>
      <c r="E34" s="5" t="s">
        <v>117</v>
      </c>
      <c r="F34" s="142">
        <v>39.76</v>
      </c>
      <c r="G34" s="88">
        <v>12.98</v>
      </c>
      <c r="H34" s="88">
        <f t="shared" si="11"/>
        <v>516.08479999999997</v>
      </c>
      <c r="I34" s="88">
        <f t="shared" si="12"/>
        <v>321.05635407999995</v>
      </c>
      <c r="J34" s="88">
        <f t="shared" si="13"/>
        <v>195.02844592</v>
      </c>
      <c r="K34" s="88">
        <v>0.25650000000000001</v>
      </c>
      <c r="L34" s="138">
        <f t="shared" si="14"/>
        <v>648.46055119999994</v>
      </c>
    </row>
    <row r="35" spans="1:12" ht="42.75" customHeight="1" x14ac:dyDescent="0.3">
      <c r="A35" s="43" t="s">
        <v>256</v>
      </c>
      <c r="B35" s="2" t="s">
        <v>16</v>
      </c>
      <c r="C35" s="5">
        <v>88484</v>
      </c>
      <c r="D35" s="2" t="s">
        <v>86</v>
      </c>
      <c r="E35" s="5" t="s">
        <v>117</v>
      </c>
      <c r="F35" s="88">
        <v>19.600000000000001</v>
      </c>
      <c r="G35" s="88">
        <v>2.54</v>
      </c>
      <c r="H35" s="88">
        <f t="shared" si="11"/>
        <v>49.784000000000006</v>
      </c>
      <c r="I35" s="88">
        <f t="shared" si="12"/>
        <v>30.970626400000004</v>
      </c>
      <c r="J35" s="88">
        <f t="shared" si="13"/>
        <v>18.813373600000002</v>
      </c>
      <c r="K35" s="88">
        <v>0.25650000000000001</v>
      </c>
      <c r="L35" s="138">
        <f t="shared" si="14"/>
        <v>62.553596000000006</v>
      </c>
    </row>
    <row r="36" spans="1:12" ht="55.5" customHeight="1" x14ac:dyDescent="0.3">
      <c r="A36" s="43" t="s">
        <v>257</v>
      </c>
      <c r="B36" s="2" t="s">
        <v>16</v>
      </c>
      <c r="C36" s="5">
        <v>88488</v>
      </c>
      <c r="D36" s="2" t="s">
        <v>87</v>
      </c>
      <c r="E36" s="5" t="s">
        <v>117</v>
      </c>
      <c r="F36" s="88">
        <v>19.600000000000001</v>
      </c>
      <c r="G36" s="88">
        <v>14.75</v>
      </c>
      <c r="H36" s="88">
        <f t="shared" si="11"/>
        <v>289.10000000000002</v>
      </c>
      <c r="I36" s="88">
        <f t="shared" si="12"/>
        <v>179.84911</v>
      </c>
      <c r="J36" s="88">
        <f t="shared" si="13"/>
        <v>109.25089000000001</v>
      </c>
      <c r="K36" s="88">
        <v>0.25650000000000001</v>
      </c>
      <c r="L36" s="138">
        <f t="shared" si="14"/>
        <v>363.25415000000004</v>
      </c>
    </row>
    <row r="37" spans="1:12" ht="58.5" customHeight="1" x14ac:dyDescent="0.3">
      <c r="A37" s="8" t="s">
        <v>258</v>
      </c>
      <c r="B37" s="5" t="s">
        <v>195</v>
      </c>
      <c r="C37" s="5" t="s">
        <v>18</v>
      </c>
      <c r="D37" s="51" t="s">
        <v>196</v>
      </c>
      <c r="E37" s="5" t="s">
        <v>233</v>
      </c>
      <c r="F37" s="88">
        <v>1</v>
      </c>
      <c r="G37" s="88">
        <v>7471.26</v>
      </c>
      <c r="H37" s="88">
        <f t="shared" si="11"/>
        <v>7471.26</v>
      </c>
      <c r="I37" s="88">
        <f t="shared" si="12"/>
        <v>4647.8708459999998</v>
      </c>
      <c r="J37" s="88">
        <f t="shared" si="13"/>
        <v>2823.389154</v>
      </c>
      <c r="K37" s="88">
        <v>0.25650000000000001</v>
      </c>
      <c r="L37" s="138">
        <f t="shared" si="14"/>
        <v>9387.6381899999997</v>
      </c>
    </row>
    <row r="38" spans="1:12" x14ac:dyDescent="0.3">
      <c r="A38" s="8" t="s">
        <v>259</v>
      </c>
      <c r="B38" s="5" t="s">
        <v>195</v>
      </c>
      <c r="C38" s="5" t="s">
        <v>18</v>
      </c>
      <c r="D38" s="51" t="s">
        <v>234</v>
      </c>
      <c r="E38" s="5" t="s">
        <v>233</v>
      </c>
      <c r="F38" s="88">
        <v>90</v>
      </c>
      <c r="G38" s="88">
        <v>22</v>
      </c>
      <c r="H38" s="88">
        <f t="shared" si="11"/>
        <v>1980</v>
      </c>
      <c r="I38" s="88">
        <f t="shared" si="12"/>
        <v>1231.758</v>
      </c>
      <c r="J38" s="88">
        <f t="shared" si="13"/>
        <v>748.24200000000008</v>
      </c>
      <c r="K38" s="88">
        <v>0.25650000000000001</v>
      </c>
      <c r="L38" s="138">
        <f t="shared" si="14"/>
        <v>2487.87</v>
      </c>
    </row>
    <row r="39" spans="1:12" ht="35.25" customHeight="1" x14ac:dyDescent="0.3">
      <c r="A39" s="3"/>
      <c r="B39" s="101" t="s">
        <v>270</v>
      </c>
      <c r="C39" s="202"/>
      <c r="D39" s="203"/>
      <c r="E39" s="203"/>
      <c r="F39" s="203"/>
      <c r="G39" s="204"/>
      <c r="H39" s="88">
        <f>SUM(H26:H38)</f>
        <v>22913.706700000002</v>
      </c>
      <c r="I39" s="88">
        <f>SUM(I26:I38)</f>
        <v>14254.616938069999</v>
      </c>
      <c r="J39" s="88">
        <f>SUM(J26:J38)</f>
        <v>8659.0897619300013</v>
      </c>
      <c r="K39" s="88">
        <v>0.25650000000000001</v>
      </c>
      <c r="L39" s="150">
        <f t="shared" si="14"/>
        <v>28791.072468550003</v>
      </c>
    </row>
    <row r="40" spans="1:12" ht="42" customHeight="1" x14ac:dyDescent="0.3">
      <c r="A40" s="48">
        <v>4</v>
      </c>
      <c r="B40" s="209" t="s">
        <v>65</v>
      </c>
      <c r="C40" s="214"/>
      <c r="D40" s="215"/>
      <c r="E40" s="93"/>
      <c r="F40" s="90"/>
      <c r="G40" s="90"/>
      <c r="H40" s="90"/>
      <c r="I40" s="91"/>
      <c r="J40" s="91"/>
      <c r="K40" s="90"/>
      <c r="L40" s="92"/>
    </row>
    <row r="41" spans="1:12" ht="59.25" customHeight="1" x14ac:dyDescent="0.3">
      <c r="A41" s="6" t="s">
        <v>58</v>
      </c>
      <c r="B41" s="2" t="s">
        <v>16</v>
      </c>
      <c r="C41" s="5">
        <v>94218</v>
      </c>
      <c r="D41" s="25" t="s">
        <v>178</v>
      </c>
      <c r="E41" s="5" t="s">
        <v>117</v>
      </c>
      <c r="F41" s="88">
        <v>46</v>
      </c>
      <c r="G41" s="88">
        <v>81.150000000000006</v>
      </c>
      <c r="H41" s="88">
        <f t="shared" ref="H41:H48" si="15">SUM(F41*G41)</f>
        <v>3732.9</v>
      </c>
      <c r="I41" s="88">
        <f t="shared" ref="I41:I48" si="16">H41*62.21%</f>
        <v>2322.2370900000001</v>
      </c>
      <c r="J41" s="88">
        <f t="shared" ref="J41:J48" si="17">H41*37.79%</f>
        <v>1410.66291</v>
      </c>
      <c r="K41" s="88">
        <v>0.25650000000000001</v>
      </c>
      <c r="L41" s="138">
        <f>H41*K41+H41</f>
        <v>4690.3888500000003</v>
      </c>
    </row>
    <row r="42" spans="1:12" ht="64.5" customHeight="1" x14ac:dyDescent="0.3">
      <c r="A42" s="6" t="s">
        <v>59</v>
      </c>
      <c r="B42" s="2" t="s">
        <v>16</v>
      </c>
      <c r="C42" s="5">
        <v>94227</v>
      </c>
      <c r="D42" s="57" t="s">
        <v>66</v>
      </c>
      <c r="E42" s="5" t="s">
        <v>73</v>
      </c>
      <c r="F42" s="88">
        <v>11</v>
      </c>
      <c r="G42" s="88">
        <v>65.13</v>
      </c>
      <c r="H42" s="88">
        <f t="shared" si="15"/>
        <v>716.43</v>
      </c>
      <c r="I42" s="88">
        <f t="shared" si="16"/>
        <v>445.69110299999994</v>
      </c>
      <c r="J42" s="88">
        <f t="shared" si="17"/>
        <v>270.73889700000001</v>
      </c>
      <c r="K42" s="88">
        <v>0.25650000000000001</v>
      </c>
      <c r="L42" s="138">
        <f t="shared" ref="L42:L49" si="18">H42*K42+H42</f>
        <v>900.19429500000001</v>
      </c>
    </row>
    <row r="43" spans="1:12" ht="69.75" customHeight="1" x14ac:dyDescent="0.3">
      <c r="A43" s="6" t="s">
        <v>228</v>
      </c>
      <c r="B43" s="2" t="s">
        <v>16</v>
      </c>
      <c r="C43" s="5">
        <v>89576</v>
      </c>
      <c r="D43" s="57" t="s">
        <v>67</v>
      </c>
      <c r="E43" s="5" t="s">
        <v>73</v>
      </c>
      <c r="F43" s="137">
        <v>10</v>
      </c>
      <c r="G43" s="88">
        <v>22.8</v>
      </c>
      <c r="H43" s="88">
        <f t="shared" si="15"/>
        <v>228</v>
      </c>
      <c r="I43" s="88">
        <f t="shared" si="16"/>
        <v>141.83879999999999</v>
      </c>
      <c r="J43" s="88">
        <f t="shared" si="17"/>
        <v>86.161200000000008</v>
      </c>
      <c r="K43" s="88">
        <v>0.25650000000000001</v>
      </c>
      <c r="L43" s="138">
        <f t="shared" si="18"/>
        <v>286.48199999999997</v>
      </c>
    </row>
    <row r="44" spans="1:12" ht="24.75" hidden="1" customHeight="1" x14ac:dyDescent="0.3">
      <c r="A44" s="6" t="s">
        <v>72</v>
      </c>
      <c r="B44" s="2" t="s">
        <v>16</v>
      </c>
      <c r="C44" s="5">
        <v>92555</v>
      </c>
      <c r="D44" s="5" t="s">
        <v>177</v>
      </c>
      <c r="E44" s="5" t="s">
        <v>74</v>
      </c>
      <c r="F44" s="88">
        <v>4</v>
      </c>
      <c r="G44" s="88">
        <v>1021.21</v>
      </c>
      <c r="H44" s="88">
        <f t="shared" si="15"/>
        <v>4084.84</v>
      </c>
      <c r="I44" s="88">
        <f t="shared" si="16"/>
        <v>2541.1789640000002</v>
      </c>
      <c r="J44" s="88">
        <f t="shared" si="17"/>
        <v>1543.6610360000002</v>
      </c>
      <c r="K44" s="88">
        <f t="shared" ref="K44" si="19">ROUND(I44+J44,4)</f>
        <v>4084.84</v>
      </c>
      <c r="L44" s="138">
        <f t="shared" si="18"/>
        <v>16690002.665600002</v>
      </c>
    </row>
    <row r="45" spans="1:12" ht="77.25" customHeight="1" x14ac:dyDescent="0.3">
      <c r="A45" s="6" t="s">
        <v>230</v>
      </c>
      <c r="B45" s="2" t="s">
        <v>16</v>
      </c>
      <c r="C45" s="25">
        <v>89581</v>
      </c>
      <c r="D45" s="2" t="s">
        <v>68</v>
      </c>
      <c r="E45" s="5" t="s">
        <v>74</v>
      </c>
      <c r="F45" s="137">
        <v>6</v>
      </c>
      <c r="G45" s="88">
        <v>23.74</v>
      </c>
      <c r="H45" s="88">
        <f t="shared" si="15"/>
        <v>142.44</v>
      </c>
      <c r="I45" s="88">
        <f t="shared" si="16"/>
        <v>88.611924000000002</v>
      </c>
      <c r="J45" s="88">
        <f t="shared" si="17"/>
        <v>53.828076000000003</v>
      </c>
      <c r="K45" s="88">
        <v>0.25650000000000001</v>
      </c>
      <c r="L45" s="138">
        <f t="shared" si="18"/>
        <v>178.97586000000001</v>
      </c>
    </row>
    <row r="46" spans="1:12" ht="43.5" customHeight="1" x14ac:dyDescent="0.3">
      <c r="A46" s="6" t="s">
        <v>260</v>
      </c>
      <c r="B46" s="14" t="s">
        <v>24</v>
      </c>
      <c r="C46" s="5">
        <v>42873</v>
      </c>
      <c r="D46" s="2" t="s">
        <v>172</v>
      </c>
      <c r="E46" s="5" t="s">
        <v>117</v>
      </c>
      <c r="F46" s="88">
        <v>390</v>
      </c>
      <c r="G46" s="88">
        <v>36.700000000000003</v>
      </c>
      <c r="H46" s="88">
        <f t="shared" si="15"/>
        <v>14313.000000000002</v>
      </c>
      <c r="I46" s="88">
        <f t="shared" si="16"/>
        <v>8904.1173000000017</v>
      </c>
      <c r="J46" s="88">
        <f t="shared" si="17"/>
        <v>5408.882700000001</v>
      </c>
      <c r="K46" s="88">
        <v>0.25650000000000001</v>
      </c>
      <c r="L46" s="138">
        <f t="shared" si="18"/>
        <v>17984.284500000002</v>
      </c>
    </row>
    <row r="47" spans="1:12" ht="41.25" customHeight="1" x14ac:dyDescent="0.3">
      <c r="A47" s="6" t="s">
        <v>261</v>
      </c>
      <c r="B47" s="14" t="s">
        <v>195</v>
      </c>
      <c r="C47" s="5" t="s">
        <v>18</v>
      </c>
      <c r="D47" s="2" t="s">
        <v>235</v>
      </c>
      <c r="E47" s="5" t="s">
        <v>74</v>
      </c>
      <c r="F47" s="88">
        <v>8</v>
      </c>
      <c r="G47" s="88">
        <v>647</v>
      </c>
      <c r="H47" s="88">
        <f t="shared" si="15"/>
        <v>5176</v>
      </c>
      <c r="I47" s="88">
        <f t="shared" si="16"/>
        <v>3219.9895999999999</v>
      </c>
      <c r="J47" s="88">
        <f t="shared" si="17"/>
        <v>1956.0104000000001</v>
      </c>
      <c r="K47" s="88">
        <v>0.25650000000000001</v>
      </c>
      <c r="L47" s="138">
        <f t="shared" si="18"/>
        <v>6503.6440000000002</v>
      </c>
    </row>
    <row r="48" spans="1:12" ht="39" customHeight="1" x14ac:dyDescent="0.3">
      <c r="A48" s="6" t="s">
        <v>262</v>
      </c>
      <c r="B48" s="14" t="s">
        <v>195</v>
      </c>
      <c r="C48" s="5" t="s">
        <v>18</v>
      </c>
      <c r="D48" s="2" t="s">
        <v>236</v>
      </c>
      <c r="E48" s="5" t="s">
        <v>74</v>
      </c>
      <c r="F48" s="88">
        <v>24</v>
      </c>
      <c r="G48" s="88">
        <v>41</v>
      </c>
      <c r="H48" s="88">
        <f t="shared" si="15"/>
        <v>984</v>
      </c>
      <c r="I48" s="88">
        <f t="shared" si="16"/>
        <v>612.14639999999997</v>
      </c>
      <c r="J48" s="88">
        <f t="shared" si="17"/>
        <v>371.85360000000003</v>
      </c>
      <c r="K48" s="88">
        <v>0.25650000000000001</v>
      </c>
      <c r="L48" s="138">
        <f t="shared" si="18"/>
        <v>1236.396</v>
      </c>
    </row>
    <row r="49" spans="1:15" ht="35.25" customHeight="1" x14ac:dyDescent="0.3">
      <c r="A49" s="3"/>
      <c r="B49" s="101" t="s">
        <v>270</v>
      </c>
      <c r="C49" s="202"/>
      <c r="D49" s="203"/>
      <c r="E49" s="203"/>
      <c r="F49" s="203"/>
      <c r="G49" s="204"/>
      <c r="H49" s="88">
        <f>SUM(H41:H48)</f>
        <v>29377.61</v>
      </c>
      <c r="I49" s="88">
        <f>SUM(I41:I48)</f>
        <v>18275.811181000005</v>
      </c>
      <c r="J49" s="88">
        <f>SUM(J41:J48)</f>
        <v>11101.798819000001</v>
      </c>
      <c r="K49" s="88">
        <v>0.25650000000000001</v>
      </c>
      <c r="L49" s="150">
        <f t="shared" si="18"/>
        <v>36912.966965</v>
      </c>
    </row>
    <row r="50" spans="1:15" ht="35.25" customHeight="1" x14ac:dyDescent="0.3">
      <c r="A50" s="49">
        <v>5</v>
      </c>
      <c r="B50" s="208" t="s">
        <v>99</v>
      </c>
      <c r="C50" s="208"/>
      <c r="D50" s="208"/>
      <c r="E50" s="90"/>
      <c r="F50" s="90"/>
      <c r="G50" s="90"/>
      <c r="H50" s="90"/>
      <c r="I50" s="91"/>
      <c r="J50" s="91"/>
      <c r="K50" s="90"/>
      <c r="L50" s="92"/>
    </row>
    <row r="51" spans="1:15" ht="48.75" customHeight="1" x14ac:dyDescent="0.3">
      <c r="A51" s="3" t="s">
        <v>62</v>
      </c>
      <c r="B51" s="14" t="s">
        <v>98</v>
      </c>
      <c r="C51" s="2">
        <v>43799</v>
      </c>
      <c r="D51" s="5" t="s">
        <v>116</v>
      </c>
      <c r="E51" s="5" t="s">
        <v>117</v>
      </c>
      <c r="F51" s="88">
        <v>15.8</v>
      </c>
      <c r="G51" s="88">
        <v>26.41</v>
      </c>
      <c r="H51" s="88">
        <f t="shared" ref="H51:H61" si="20">SUM(F51*G51)</f>
        <v>417.27800000000002</v>
      </c>
      <c r="I51" s="88">
        <f t="shared" ref="I51:I61" si="21">H51*62.21%</f>
        <v>259.5886438</v>
      </c>
      <c r="J51" s="88">
        <f t="shared" ref="J51:J61" si="22">H51*37.79%</f>
        <v>157.68935620000002</v>
      </c>
      <c r="K51" s="88">
        <v>0.25650000000000001</v>
      </c>
      <c r="L51" s="138">
        <f>H51*K51+H51</f>
        <v>524.30980699999998</v>
      </c>
    </row>
    <row r="52" spans="1:15" ht="60.75" customHeight="1" x14ac:dyDescent="0.3">
      <c r="A52" s="3" t="s">
        <v>63</v>
      </c>
      <c r="B52" s="2" t="s">
        <v>16</v>
      </c>
      <c r="C52" s="17">
        <v>101747</v>
      </c>
      <c r="D52" s="17" t="s">
        <v>102</v>
      </c>
      <c r="E52" s="5" t="s">
        <v>117</v>
      </c>
      <c r="F52" s="88">
        <v>22.7</v>
      </c>
      <c r="G52" s="142">
        <v>55.01</v>
      </c>
      <c r="H52" s="88">
        <f t="shared" si="20"/>
        <v>1248.7269999999999</v>
      </c>
      <c r="I52" s="88">
        <f t="shared" si="21"/>
        <v>776.8330666999999</v>
      </c>
      <c r="J52" s="88">
        <f t="shared" si="22"/>
        <v>471.89393329999996</v>
      </c>
      <c r="K52" s="88">
        <v>0.25650000000000001</v>
      </c>
      <c r="L52" s="138">
        <f t="shared" ref="L52:L62" si="23">H52*K52+H52</f>
        <v>1569.0254754999999</v>
      </c>
    </row>
    <row r="53" spans="1:15" ht="98.25" customHeight="1" x14ac:dyDescent="0.3">
      <c r="A53" s="3" t="s">
        <v>64</v>
      </c>
      <c r="B53" s="2" t="s">
        <v>16</v>
      </c>
      <c r="C53" s="2">
        <v>87745</v>
      </c>
      <c r="D53" s="54" t="s">
        <v>104</v>
      </c>
      <c r="E53" s="5" t="s">
        <v>117</v>
      </c>
      <c r="F53" s="88">
        <v>22.63</v>
      </c>
      <c r="G53" s="88">
        <v>47.11</v>
      </c>
      <c r="H53" s="88">
        <f t="shared" si="20"/>
        <v>1066.0992999999999</v>
      </c>
      <c r="I53" s="88">
        <f t="shared" si="21"/>
        <v>663.22037452999984</v>
      </c>
      <c r="J53" s="88">
        <f t="shared" si="22"/>
        <v>402.87892546999996</v>
      </c>
      <c r="K53" s="88">
        <v>0.25650000000000001</v>
      </c>
      <c r="L53" s="138">
        <f t="shared" si="23"/>
        <v>1339.5537704499998</v>
      </c>
    </row>
    <row r="54" spans="1:15" ht="68.25" customHeight="1" x14ac:dyDescent="0.3">
      <c r="A54" s="3" t="s">
        <v>239</v>
      </c>
      <c r="B54" s="2" t="s">
        <v>16</v>
      </c>
      <c r="C54" s="17">
        <v>101747</v>
      </c>
      <c r="D54" s="17" t="s">
        <v>218</v>
      </c>
      <c r="E54" s="5" t="s">
        <v>117</v>
      </c>
      <c r="F54" s="88">
        <v>16.8</v>
      </c>
      <c r="G54" s="88">
        <v>55.01</v>
      </c>
      <c r="H54" s="88">
        <f t="shared" si="20"/>
        <v>924.16800000000001</v>
      </c>
      <c r="I54" s="88">
        <f t="shared" si="21"/>
        <v>574.92491280000002</v>
      </c>
      <c r="J54" s="88">
        <f t="shared" si="22"/>
        <v>349.24308719999999</v>
      </c>
      <c r="K54" s="88">
        <v>0.25650000000000001</v>
      </c>
      <c r="L54" s="138">
        <f t="shared" si="23"/>
        <v>1161.2170920000001</v>
      </c>
      <c r="M54" s="15"/>
      <c r="N54" s="15"/>
      <c r="O54" s="15"/>
    </row>
    <row r="55" spans="1:15" ht="41.25" customHeight="1" x14ac:dyDescent="0.3">
      <c r="A55" s="3" t="s">
        <v>263</v>
      </c>
      <c r="B55" s="2" t="s">
        <v>16</v>
      </c>
      <c r="C55" s="2">
        <v>98689</v>
      </c>
      <c r="D55" s="55" t="s">
        <v>109</v>
      </c>
      <c r="E55" s="5" t="s">
        <v>73</v>
      </c>
      <c r="F55" s="88">
        <v>2.5</v>
      </c>
      <c r="G55" s="88">
        <v>87.86</v>
      </c>
      <c r="H55" s="88">
        <f t="shared" si="20"/>
        <v>219.65</v>
      </c>
      <c r="I55" s="88">
        <f t="shared" si="21"/>
        <v>136.64426499999999</v>
      </c>
      <c r="J55" s="88">
        <f t="shared" si="22"/>
        <v>83.005735000000001</v>
      </c>
      <c r="K55" s="88">
        <v>0.25650000000000001</v>
      </c>
      <c r="L55" s="138">
        <f t="shared" si="23"/>
        <v>275.99022500000001</v>
      </c>
      <c r="M55" s="23"/>
      <c r="N55" s="23"/>
      <c r="O55" s="15"/>
    </row>
    <row r="56" spans="1:15" ht="81" customHeight="1" x14ac:dyDescent="0.3">
      <c r="A56" s="3" t="s">
        <v>264</v>
      </c>
      <c r="B56" s="2" t="s">
        <v>16</v>
      </c>
      <c r="C56" s="17">
        <v>101965</v>
      </c>
      <c r="D56" s="56" t="s">
        <v>123</v>
      </c>
      <c r="E56" s="5" t="s">
        <v>73</v>
      </c>
      <c r="F56" s="88">
        <v>3.25</v>
      </c>
      <c r="G56" s="88">
        <v>106.35</v>
      </c>
      <c r="H56" s="88">
        <f t="shared" si="20"/>
        <v>345.63749999999999</v>
      </c>
      <c r="I56" s="88">
        <f t="shared" si="21"/>
        <v>215.02108874999999</v>
      </c>
      <c r="J56" s="88">
        <f t="shared" si="22"/>
        <v>130.61641125</v>
      </c>
      <c r="K56" s="88">
        <v>0.25650000000000001</v>
      </c>
      <c r="L56" s="138">
        <f t="shared" si="23"/>
        <v>434.29351874999998</v>
      </c>
      <c r="M56" s="23"/>
      <c r="N56" s="23"/>
      <c r="O56" s="15"/>
    </row>
    <row r="57" spans="1:15" ht="63" customHeight="1" x14ac:dyDescent="0.3">
      <c r="A57" s="3" t="s">
        <v>265</v>
      </c>
      <c r="B57" s="14" t="s">
        <v>98</v>
      </c>
      <c r="C57" s="5">
        <v>53460</v>
      </c>
      <c r="D57" s="57" t="s">
        <v>153</v>
      </c>
      <c r="E57" s="5" t="s">
        <v>117</v>
      </c>
      <c r="F57" s="88">
        <v>85</v>
      </c>
      <c r="G57" s="88">
        <v>74.989999999999995</v>
      </c>
      <c r="H57" s="88">
        <f t="shared" si="20"/>
        <v>6374.15</v>
      </c>
      <c r="I57" s="88">
        <f t="shared" si="21"/>
        <v>3965.3587149999998</v>
      </c>
      <c r="J57" s="88">
        <f t="shared" si="22"/>
        <v>2408.7912849999998</v>
      </c>
      <c r="K57" s="88">
        <v>0.25650000000000001</v>
      </c>
      <c r="L57" s="138">
        <f t="shared" si="23"/>
        <v>8009.1194749999995</v>
      </c>
      <c r="M57" s="23"/>
      <c r="N57" s="23"/>
      <c r="O57" s="15"/>
    </row>
    <row r="58" spans="1:15" ht="73.5" customHeight="1" x14ac:dyDescent="0.3">
      <c r="A58" s="3" t="s">
        <v>266</v>
      </c>
      <c r="B58" s="2" t="s">
        <v>16</v>
      </c>
      <c r="C58" s="34">
        <v>96622</v>
      </c>
      <c r="D58" s="58" t="s">
        <v>149</v>
      </c>
      <c r="E58" s="5" t="s">
        <v>119</v>
      </c>
      <c r="F58" s="88">
        <v>4.25</v>
      </c>
      <c r="G58" s="88">
        <v>110.97</v>
      </c>
      <c r="H58" s="88">
        <f t="shared" si="20"/>
        <v>471.6225</v>
      </c>
      <c r="I58" s="88">
        <f t="shared" si="21"/>
        <v>293.39635724999999</v>
      </c>
      <c r="J58" s="88">
        <f t="shared" si="22"/>
        <v>178.22614275000001</v>
      </c>
      <c r="K58" s="88">
        <v>0.25650000000000001</v>
      </c>
      <c r="L58" s="138">
        <f t="shared" si="23"/>
        <v>592.59367124999994</v>
      </c>
    </row>
    <row r="59" spans="1:15" ht="85.5" customHeight="1" x14ac:dyDescent="0.3">
      <c r="A59" s="6" t="s">
        <v>267</v>
      </c>
      <c r="B59" s="2" t="s">
        <v>16</v>
      </c>
      <c r="C59" s="5">
        <v>94970</v>
      </c>
      <c r="D59" s="38" t="s">
        <v>179</v>
      </c>
      <c r="E59" s="5" t="s">
        <v>119</v>
      </c>
      <c r="F59" s="88">
        <v>5.5</v>
      </c>
      <c r="G59" s="88">
        <v>364.9</v>
      </c>
      <c r="H59" s="88">
        <f t="shared" si="20"/>
        <v>2006.9499999999998</v>
      </c>
      <c r="I59" s="88">
        <f t="shared" si="21"/>
        <v>1248.5235949999999</v>
      </c>
      <c r="J59" s="88">
        <f t="shared" si="22"/>
        <v>758.42640499999993</v>
      </c>
      <c r="K59" s="88">
        <v>0.25650000000000001</v>
      </c>
      <c r="L59" s="138">
        <f t="shared" si="23"/>
        <v>2521.7326749999997</v>
      </c>
    </row>
    <row r="60" spans="1:15" ht="57.75" customHeight="1" x14ac:dyDescent="0.3">
      <c r="A60" s="6" t="s">
        <v>268</v>
      </c>
      <c r="B60" s="2" t="s">
        <v>16</v>
      </c>
      <c r="C60" s="38">
        <v>101735</v>
      </c>
      <c r="D60" s="38" t="s">
        <v>168</v>
      </c>
      <c r="E60" s="5" t="s">
        <v>117</v>
      </c>
      <c r="F60" s="88">
        <v>73</v>
      </c>
      <c r="G60" s="88">
        <v>329.98</v>
      </c>
      <c r="H60" s="88">
        <f t="shared" si="20"/>
        <v>24088.54</v>
      </c>
      <c r="I60" s="88">
        <f t="shared" si="21"/>
        <v>14985.480734000001</v>
      </c>
      <c r="J60" s="88">
        <f t="shared" si="22"/>
        <v>9103.0592660000002</v>
      </c>
      <c r="K60" s="88">
        <v>0.25650000000000001</v>
      </c>
      <c r="L60" s="138">
        <f t="shared" si="23"/>
        <v>30267.250510000002</v>
      </c>
    </row>
    <row r="61" spans="1:15" ht="54" customHeight="1" x14ac:dyDescent="0.3">
      <c r="A61" s="3" t="s">
        <v>269</v>
      </c>
      <c r="B61" s="2" t="s">
        <v>16</v>
      </c>
      <c r="C61" s="17">
        <v>101094</v>
      </c>
      <c r="D61" s="25" t="s">
        <v>232</v>
      </c>
      <c r="E61" s="5" t="s">
        <v>117</v>
      </c>
      <c r="F61" s="88">
        <v>20</v>
      </c>
      <c r="G61" s="88">
        <v>127.56</v>
      </c>
      <c r="H61" s="88">
        <f t="shared" si="20"/>
        <v>2551.1999999999998</v>
      </c>
      <c r="I61" s="88">
        <f t="shared" si="21"/>
        <v>1587.1015199999999</v>
      </c>
      <c r="J61" s="88">
        <f t="shared" si="22"/>
        <v>964.09848</v>
      </c>
      <c r="K61" s="88">
        <v>0.25650000000000001</v>
      </c>
      <c r="L61" s="138">
        <f t="shared" si="23"/>
        <v>3205.5827999999997</v>
      </c>
    </row>
    <row r="62" spans="1:15" ht="39.75" customHeight="1" x14ac:dyDescent="0.3">
      <c r="A62" s="3"/>
      <c r="B62" s="101" t="s">
        <v>270</v>
      </c>
      <c r="C62" s="202"/>
      <c r="D62" s="203"/>
      <c r="E62" s="203"/>
      <c r="F62" s="203"/>
      <c r="G62" s="204"/>
      <c r="H62" s="88">
        <f>SUM(H51:H61)</f>
        <v>39714.022299999997</v>
      </c>
      <c r="I62" s="88">
        <f>SUM(I51:I61)</f>
        <v>24706.093272829999</v>
      </c>
      <c r="J62" s="88">
        <f>SUM(J51:J61)</f>
        <v>15007.929027170001</v>
      </c>
      <c r="K62" s="88">
        <v>0.25650000000000001</v>
      </c>
      <c r="L62" s="150">
        <f t="shared" si="23"/>
        <v>49900.669019950001</v>
      </c>
    </row>
    <row r="63" spans="1:15" ht="30.75" customHeight="1" x14ac:dyDescent="0.3">
      <c r="A63" s="9">
        <v>6</v>
      </c>
      <c r="B63" s="208" t="s">
        <v>75</v>
      </c>
      <c r="C63" s="208"/>
      <c r="D63" s="208"/>
      <c r="E63" s="90"/>
      <c r="F63" s="90"/>
      <c r="G63" s="90"/>
      <c r="H63" s="90"/>
      <c r="I63" s="91"/>
      <c r="J63" s="91"/>
      <c r="K63" s="90"/>
      <c r="L63" s="92"/>
    </row>
    <row r="64" spans="1:15" ht="60" customHeight="1" x14ac:dyDescent="0.3">
      <c r="A64" s="6" t="s">
        <v>69</v>
      </c>
      <c r="B64" s="2" t="s">
        <v>24</v>
      </c>
      <c r="C64" s="17">
        <v>42698</v>
      </c>
      <c r="D64" s="2" t="s">
        <v>80</v>
      </c>
      <c r="E64" s="38" t="s">
        <v>117</v>
      </c>
      <c r="F64" s="88">
        <v>3.36</v>
      </c>
      <c r="G64" s="137">
        <v>794.1</v>
      </c>
      <c r="H64" s="88">
        <f t="shared" ref="H64:H68" si="24">SUM(F64*G64)</f>
        <v>2668.1759999999999</v>
      </c>
      <c r="I64" s="88">
        <f t="shared" ref="I64:I68" si="25">H64*62.21%</f>
        <v>1659.8722895999999</v>
      </c>
      <c r="J64" s="88">
        <f t="shared" ref="J64:J68" si="26">H64*37.79%</f>
        <v>1008.3037104</v>
      </c>
      <c r="K64" s="88">
        <v>0.25650000000000001</v>
      </c>
      <c r="L64" s="138">
        <f>H64*K64+H64</f>
        <v>3352.5631439999997</v>
      </c>
    </row>
    <row r="65" spans="1:12" ht="115.5" customHeight="1" x14ac:dyDescent="0.3">
      <c r="A65" s="6" t="s">
        <v>70</v>
      </c>
      <c r="B65" s="2" t="s">
        <v>16</v>
      </c>
      <c r="C65" s="38">
        <v>94570</v>
      </c>
      <c r="D65" s="5" t="s">
        <v>271</v>
      </c>
      <c r="E65" s="38" t="s">
        <v>117</v>
      </c>
      <c r="F65" s="88">
        <v>1.2</v>
      </c>
      <c r="G65" s="88">
        <v>325.08</v>
      </c>
      <c r="H65" s="88">
        <f t="shared" si="24"/>
        <v>390.09599999999995</v>
      </c>
      <c r="I65" s="88">
        <f t="shared" si="25"/>
        <v>242.67872159999996</v>
      </c>
      <c r="J65" s="88">
        <f t="shared" si="26"/>
        <v>147.41727839999999</v>
      </c>
      <c r="K65" s="88">
        <v>0.25650000000000001</v>
      </c>
      <c r="L65" s="138">
        <f t="shared" ref="L65:L69" si="27">H65*K65+H65</f>
        <v>490.15562399999993</v>
      </c>
    </row>
    <row r="66" spans="1:12" ht="121.5" customHeight="1" x14ac:dyDescent="0.3">
      <c r="A66" s="6" t="s">
        <v>71</v>
      </c>
      <c r="B66" s="2" t="s">
        <v>16</v>
      </c>
      <c r="C66" s="38">
        <v>94570</v>
      </c>
      <c r="D66" s="5" t="s">
        <v>272</v>
      </c>
      <c r="E66" s="38" t="s">
        <v>117</v>
      </c>
      <c r="F66" s="88">
        <v>0.75</v>
      </c>
      <c r="G66" s="88">
        <v>325.08</v>
      </c>
      <c r="H66" s="88">
        <f t="shared" si="24"/>
        <v>243.81</v>
      </c>
      <c r="I66" s="88">
        <f t="shared" si="25"/>
        <v>151.67420100000001</v>
      </c>
      <c r="J66" s="88">
        <f t="shared" si="26"/>
        <v>92.135799000000006</v>
      </c>
      <c r="K66" s="88">
        <v>0.25650000000000001</v>
      </c>
      <c r="L66" s="138">
        <f t="shared" si="27"/>
        <v>306.34726499999999</v>
      </c>
    </row>
    <row r="67" spans="1:12" ht="81.75" customHeight="1" x14ac:dyDescent="0.3">
      <c r="A67" s="6" t="s">
        <v>72</v>
      </c>
      <c r="B67" s="2" t="s">
        <v>16</v>
      </c>
      <c r="C67" s="17">
        <v>90831</v>
      </c>
      <c r="D67" s="52" t="s">
        <v>110</v>
      </c>
      <c r="E67" s="5" t="s">
        <v>74</v>
      </c>
      <c r="F67" s="88">
        <v>3</v>
      </c>
      <c r="G67" s="88">
        <v>126.72</v>
      </c>
      <c r="H67" s="88">
        <f t="shared" si="24"/>
        <v>380.15999999999997</v>
      </c>
      <c r="I67" s="88">
        <f t="shared" si="25"/>
        <v>236.49753599999997</v>
      </c>
      <c r="J67" s="88">
        <f t="shared" si="26"/>
        <v>143.662464</v>
      </c>
      <c r="K67" s="88">
        <v>0.25650000000000001</v>
      </c>
      <c r="L67" s="138">
        <f t="shared" si="27"/>
        <v>477.67103999999995</v>
      </c>
    </row>
    <row r="68" spans="1:12" ht="56.25" customHeight="1" x14ac:dyDescent="0.3">
      <c r="A68" s="6" t="s">
        <v>166</v>
      </c>
      <c r="B68" s="2" t="s">
        <v>24</v>
      </c>
      <c r="C68" s="17">
        <v>42698</v>
      </c>
      <c r="D68" s="52" t="s">
        <v>81</v>
      </c>
      <c r="E68" s="5" t="s">
        <v>117</v>
      </c>
      <c r="F68" s="88">
        <v>1.89</v>
      </c>
      <c r="G68" s="88">
        <v>794.1</v>
      </c>
      <c r="H68" s="88">
        <f t="shared" si="24"/>
        <v>1500.8489999999999</v>
      </c>
      <c r="I68" s="88">
        <f t="shared" si="25"/>
        <v>933.67816289999996</v>
      </c>
      <c r="J68" s="88">
        <f t="shared" si="26"/>
        <v>567.17083709999997</v>
      </c>
      <c r="K68" s="88">
        <v>0.25650000000000001</v>
      </c>
      <c r="L68" s="138">
        <f t="shared" si="27"/>
        <v>1885.8167684999999</v>
      </c>
    </row>
    <row r="69" spans="1:12" ht="35.25" customHeight="1" x14ac:dyDescent="0.3">
      <c r="A69" s="3"/>
      <c r="B69" s="101" t="s">
        <v>270</v>
      </c>
      <c r="C69" s="2"/>
      <c r="D69" s="51"/>
      <c r="E69" s="5"/>
      <c r="F69" s="88"/>
      <c r="G69" s="88"/>
      <c r="H69" s="88">
        <f>SUM(H64:H68)</f>
        <v>5183.0909999999994</v>
      </c>
      <c r="I69" s="88">
        <f>SUM(I64:I68)</f>
        <v>3224.4009110999996</v>
      </c>
      <c r="J69" s="88">
        <f>SUM(J64:J68)</f>
        <v>1958.6900888999999</v>
      </c>
      <c r="K69" s="88">
        <v>0.25650000000000001</v>
      </c>
      <c r="L69" s="138">
        <f t="shared" si="27"/>
        <v>6512.5538414999992</v>
      </c>
    </row>
    <row r="70" spans="1:12" ht="24" customHeight="1" x14ac:dyDescent="0.3">
      <c r="A70" s="9">
        <v>7</v>
      </c>
      <c r="B70" s="208" t="s">
        <v>54</v>
      </c>
      <c r="C70" s="208"/>
      <c r="D70" s="209"/>
      <c r="E70" s="90"/>
      <c r="F70" s="90"/>
      <c r="G70" s="90"/>
      <c r="H70" s="90"/>
      <c r="I70" s="91"/>
      <c r="J70" s="91"/>
      <c r="K70" s="90"/>
      <c r="L70" s="92"/>
    </row>
    <row r="71" spans="1:12" ht="55.2" x14ac:dyDescent="0.3">
      <c r="A71" s="6" t="s">
        <v>76</v>
      </c>
      <c r="B71" s="2" t="s">
        <v>16</v>
      </c>
      <c r="C71" s="38">
        <v>98088</v>
      </c>
      <c r="D71" s="34" t="s">
        <v>226</v>
      </c>
      <c r="E71" s="5" t="s">
        <v>74</v>
      </c>
      <c r="F71" s="5">
        <v>1</v>
      </c>
      <c r="G71" s="88">
        <v>2999.68</v>
      </c>
      <c r="H71" s="88">
        <f t="shared" ref="H71:H74" si="28">SUM(F71*G71)</f>
        <v>2999.68</v>
      </c>
      <c r="I71" s="88">
        <f t="shared" ref="I71:I74" si="29">H71*62.21%</f>
        <v>1866.1009279999998</v>
      </c>
      <c r="J71" s="88">
        <f t="shared" ref="J71:J74" si="30">H71*37.79%</f>
        <v>1133.579072</v>
      </c>
      <c r="K71" s="88">
        <v>0.25650000000000001</v>
      </c>
      <c r="L71" s="138">
        <f>H71*K71+H71</f>
        <v>3769.0979199999997</v>
      </c>
    </row>
    <row r="72" spans="1:12" ht="41.4" x14ac:dyDescent="0.3">
      <c r="A72" s="6" t="s">
        <v>77</v>
      </c>
      <c r="B72" s="38" t="s">
        <v>17</v>
      </c>
      <c r="C72" s="38" t="s">
        <v>18</v>
      </c>
      <c r="D72" s="17" t="s">
        <v>135</v>
      </c>
      <c r="E72" s="5" t="s">
        <v>74</v>
      </c>
      <c r="F72" s="5">
        <v>1</v>
      </c>
      <c r="G72" s="88">
        <v>2876.39</v>
      </c>
      <c r="H72" s="88">
        <f t="shared" si="28"/>
        <v>2876.39</v>
      </c>
      <c r="I72" s="88">
        <f t="shared" si="29"/>
        <v>1789.4022189999998</v>
      </c>
      <c r="J72" s="88">
        <f t="shared" si="30"/>
        <v>1086.987781</v>
      </c>
      <c r="K72" s="88">
        <v>0.25650000000000001</v>
      </c>
      <c r="L72" s="138">
        <f t="shared" ref="L72:L75" si="31">H72*K72+H72</f>
        <v>3614.1840349999998</v>
      </c>
    </row>
    <row r="73" spans="1:12" ht="41.4" x14ac:dyDescent="0.3">
      <c r="A73" s="6" t="s">
        <v>78</v>
      </c>
      <c r="B73" s="2" t="s">
        <v>16</v>
      </c>
      <c r="C73" s="5">
        <v>98082</v>
      </c>
      <c r="D73" s="5" t="s">
        <v>227</v>
      </c>
      <c r="E73" s="5" t="s">
        <v>74</v>
      </c>
      <c r="F73" s="5">
        <v>1</v>
      </c>
      <c r="G73" s="88">
        <v>3533.05</v>
      </c>
      <c r="H73" s="88">
        <f t="shared" si="28"/>
        <v>3533.05</v>
      </c>
      <c r="I73" s="88">
        <f t="shared" si="29"/>
        <v>2197.9104050000001</v>
      </c>
      <c r="J73" s="88">
        <f t="shared" si="30"/>
        <v>1335.1395950000001</v>
      </c>
      <c r="K73" s="88">
        <v>0.25650000000000001</v>
      </c>
      <c r="L73" s="138">
        <f t="shared" si="31"/>
        <v>4439.277325</v>
      </c>
    </row>
    <row r="74" spans="1:12" ht="55.2" x14ac:dyDescent="0.3">
      <c r="A74" s="6" t="s">
        <v>79</v>
      </c>
      <c r="B74" s="2" t="s">
        <v>16</v>
      </c>
      <c r="C74" s="38">
        <v>98062</v>
      </c>
      <c r="D74" s="5" t="s">
        <v>229</v>
      </c>
      <c r="E74" s="5" t="s">
        <v>74</v>
      </c>
      <c r="F74" s="5">
        <v>1</v>
      </c>
      <c r="G74" s="88">
        <v>2090.56</v>
      </c>
      <c r="H74" s="88">
        <f t="shared" si="28"/>
        <v>2090.56</v>
      </c>
      <c r="I74" s="88">
        <f t="shared" si="29"/>
        <v>1300.537376</v>
      </c>
      <c r="J74" s="88">
        <f t="shared" si="30"/>
        <v>790.02262400000006</v>
      </c>
      <c r="K74" s="88">
        <v>0.25650000000000001</v>
      </c>
      <c r="L74" s="138">
        <f t="shared" si="31"/>
        <v>2626.7886399999998</v>
      </c>
    </row>
    <row r="75" spans="1:12" ht="27.75" customHeight="1" x14ac:dyDescent="0.3">
      <c r="A75" s="3"/>
      <c r="B75" s="101" t="s">
        <v>270</v>
      </c>
      <c r="C75" s="202"/>
      <c r="D75" s="203"/>
      <c r="E75" s="203"/>
      <c r="F75" s="203"/>
      <c r="G75" s="204"/>
      <c r="H75" s="88">
        <f>SUM(H71:H74)</f>
        <v>11499.679999999998</v>
      </c>
      <c r="I75" s="88">
        <f>SUM(I71:I74)</f>
        <v>7153.9509280000002</v>
      </c>
      <c r="J75" s="88">
        <f>SUM(J71:J74)</f>
        <v>4345.7290720000001</v>
      </c>
      <c r="K75" s="88">
        <v>0.25650000000000001</v>
      </c>
      <c r="L75" s="150">
        <f t="shared" si="31"/>
        <v>14449.347919999998</v>
      </c>
    </row>
    <row r="76" spans="1:12" ht="33.75" customHeight="1" x14ac:dyDescent="0.3">
      <c r="A76" s="20"/>
      <c r="B76" s="86"/>
      <c r="C76" s="86"/>
      <c r="D76" s="86"/>
      <c r="E76" s="86"/>
      <c r="F76" s="86"/>
      <c r="G76" s="86"/>
      <c r="H76" s="5"/>
      <c r="I76" s="85"/>
      <c r="J76" s="85"/>
      <c r="K76" s="5"/>
      <c r="L76" s="23"/>
    </row>
    <row r="77" spans="1:12" ht="45.75" customHeight="1" x14ac:dyDescent="0.3">
      <c r="A77" s="9">
        <v>8</v>
      </c>
      <c r="B77" s="208" t="s">
        <v>23</v>
      </c>
      <c r="C77" s="208"/>
      <c r="D77" s="208"/>
      <c r="E77" s="90"/>
      <c r="F77" s="90"/>
      <c r="G77" s="90"/>
      <c r="H77" s="90"/>
      <c r="I77" s="91"/>
      <c r="J77" s="91"/>
      <c r="K77" s="90"/>
      <c r="L77" s="92"/>
    </row>
    <row r="78" spans="1:12" ht="129" customHeight="1" x14ac:dyDescent="0.3">
      <c r="A78" s="6" t="s">
        <v>89</v>
      </c>
      <c r="B78" s="2" t="s">
        <v>16</v>
      </c>
      <c r="C78" s="5">
        <v>94792</v>
      </c>
      <c r="D78" s="2" t="s">
        <v>121</v>
      </c>
      <c r="E78" s="5" t="s">
        <v>74</v>
      </c>
      <c r="F78" s="5">
        <v>2</v>
      </c>
      <c r="G78" s="88">
        <v>103.75</v>
      </c>
      <c r="H78" s="88">
        <f t="shared" si="3"/>
        <v>207.5</v>
      </c>
      <c r="I78" s="88">
        <f t="shared" si="4"/>
        <v>129.08574999999999</v>
      </c>
      <c r="J78" s="88">
        <f t="shared" si="5"/>
        <v>78.41425000000001</v>
      </c>
      <c r="K78" s="88">
        <v>0.25650000000000001</v>
      </c>
      <c r="L78" s="138">
        <f>H78*K78+H78</f>
        <v>260.72375</v>
      </c>
    </row>
    <row r="79" spans="1:12" ht="63" customHeight="1" x14ac:dyDescent="0.3">
      <c r="A79" s="6" t="s">
        <v>90</v>
      </c>
      <c r="B79" s="2" t="s">
        <v>16</v>
      </c>
      <c r="C79" s="5">
        <v>94797</v>
      </c>
      <c r="D79" s="52" t="s">
        <v>26</v>
      </c>
      <c r="E79" s="5" t="s">
        <v>74</v>
      </c>
      <c r="F79" s="5">
        <v>1</v>
      </c>
      <c r="G79" s="88">
        <v>41.03</v>
      </c>
      <c r="H79" s="88">
        <f t="shared" si="3"/>
        <v>41.03</v>
      </c>
      <c r="I79" s="88">
        <f t="shared" si="4"/>
        <v>25.524763</v>
      </c>
      <c r="J79" s="88">
        <f t="shared" si="5"/>
        <v>15.505237000000001</v>
      </c>
      <c r="K79" s="88">
        <v>0.25650000000000001</v>
      </c>
      <c r="L79" s="138">
        <f t="shared" ref="L79:L88" si="32">H79*K79+H79</f>
        <v>51.554195</v>
      </c>
    </row>
    <row r="80" spans="1:12" ht="78.75" customHeight="1" x14ac:dyDescent="0.3">
      <c r="A80" s="6" t="s">
        <v>91</v>
      </c>
      <c r="B80" s="2" t="s">
        <v>16</v>
      </c>
      <c r="C80" s="5">
        <v>89985</v>
      </c>
      <c r="D80" s="52" t="s">
        <v>27</v>
      </c>
      <c r="E80" s="5" t="s">
        <v>74</v>
      </c>
      <c r="F80" s="5">
        <v>3</v>
      </c>
      <c r="G80" s="88">
        <v>66.319999999999993</v>
      </c>
      <c r="H80" s="88">
        <f t="shared" si="3"/>
        <v>198.95999999999998</v>
      </c>
      <c r="I80" s="88">
        <f t="shared" si="4"/>
        <v>123.77301599999998</v>
      </c>
      <c r="J80" s="88">
        <f t="shared" si="5"/>
        <v>75.186983999999995</v>
      </c>
      <c r="K80" s="88">
        <v>0.25650000000000001</v>
      </c>
      <c r="L80" s="138">
        <f t="shared" si="32"/>
        <v>249.99323999999999</v>
      </c>
    </row>
    <row r="81" spans="1:12" ht="74.25" customHeight="1" x14ac:dyDescent="0.3">
      <c r="A81" s="6" t="s">
        <v>92</v>
      </c>
      <c r="B81" s="17" t="s">
        <v>17</v>
      </c>
      <c r="C81" s="38" t="s">
        <v>18</v>
      </c>
      <c r="D81" s="51" t="s">
        <v>28</v>
      </c>
      <c r="E81" s="5" t="s">
        <v>74</v>
      </c>
      <c r="F81" s="5">
        <v>3</v>
      </c>
      <c r="G81" s="88">
        <v>220</v>
      </c>
      <c r="H81" s="88">
        <f t="shared" si="3"/>
        <v>660</v>
      </c>
      <c r="I81" s="88">
        <f t="shared" si="4"/>
        <v>410.58600000000001</v>
      </c>
      <c r="J81" s="88">
        <f t="shared" si="5"/>
        <v>249.41400000000002</v>
      </c>
      <c r="K81" s="88">
        <v>0.25650000000000001</v>
      </c>
      <c r="L81" s="138">
        <f t="shared" si="32"/>
        <v>829.29</v>
      </c>
    </row>
    <row r="82" spans="1:12" ht="62.25" customHeight="1" x14ac:dyDescent="0.3">
      <c r="A82" s="6" t="s">
        <v>93</v>
      </c>
      <c r="B82" s="17" t="s">
        <v>17</v>
      </c>
      <c r="C82" s="38" t="s">
        <v>18</v>
      </c>
      <c r="D82" s="51" t="s">
        <v>29</v>
      </c>
      <c r="E82" s="5" t="s">
        <v>74</v>
      </c>
      <c r="F82" s="5">
        <v>1</v>
      </c>
      <c r="G82" s="88">
        <v>650</v>
      </c>
      <c r="H82" s="88">
        <f t="shared" si="3"/>
        <v>650</v>
      </c>
      <c r="I82" s="88">
        <f t="shared" si="4"/>
        <v>404.36500000000001</v>
      </c>
      <c r="J82" s="88">
        <f t="shared" si="5"/>
        <v>245.63500000000002</v>
      </c>
      <c r="K82" s="88">
        <v>0.25650000000000001</v>
      </c>
      <c r="L82" s="138">
        <f t="shared" si="32"/>
        <v>816.72500000000002</v>
      </c>
    </row>
    <row r="83" spans="1:12" ht="63" customHeight="1" x14ac:dyDescent="0.3">
      <c r="A83" s="6" t="s">
        <v>151</v>
      </c>
      <c r="B83" s="17" t="s">
        <v>24</v>
      </c>
      <c r="C83" s="38">
        <v>42914</v>
      </c>
      <c r="D83" s="51" t="s">
        <v>30</v>
      </c>
      <c r="E83" s="5" t="s">
        <v>74</v>
      </c>
      <c r="F83" s="5">
        <v>2</v>
      </c>
      <c r="G83" s="88">
        <v>407.66</v>
      </c>
      <c r="H83" s="88">
        <f t="shared" si="3"/>
        <v>815.32</v>
      </c>
      <c r="I83" s="88">
        <f t="shared" si="4"/>
        <v>507.21057200000001</v>
      </c>
      <c r="J83" s="88">
        <f t="shared" si="5"/>
        <v>308.10942800000004</v>
      </c>
      <c r="K83" s="88">
        <v>0.25650000000000001</v>
      </c>
      <c r="L83" s="138">
        <f t="shared" si="32"/>
        <v>1024.44958</v>
      </c>
    </row>
    <row r="84" spans="1:12" ht="51" customHeight="1" x14ac:dyDescent="0.3">
      <c r="A84" s="6" t="s">
        <v>94</v>
      </c>
      <c r="B84" s="2" t="s">
        <v>16</v>
      </c>
      <c r="C84" s="5">
        <v>95675</v>
      </c>
      <c r="D84" s="2" t="s">
        <v>31</v>
      </c>
      <c r="E84" s="5" t="s">
        <v>74</v>
      </c>
      <c r="F84" s="5">
        <v>1</v>
      </c>
      <c r="G84" s="88">
        <v>185.48</v>
      </c>
      <c r="H84" s="88">
        <f t="shared" si="3"/>
        <v>185.48</v>
      </c>
      <c r="I84" s="88">
        <f t="shared" si="4"/>
        <v>115.387108</v>
      </c>
      <c r="J84" s="88">
        <f t="shared" si="5"/>
        <v>70.092891999999992</v>
      </c>
      <c r="K84" s="88">
        <v>0.25650000000000001</v>
      </c>
      <c r="L84" s="138">
        <f t="shared" si="32"/>
        <v>233.05561999999998</v>
      </c>
    </row>
    <row r="85" spans="1:12" ht="42" customHeight="1" x14ac:dyDescent="0.3">
      <c r="A85" s="6" t="s">
        <v>95</v>
      </c>
      <c r="B85" s="2" t="s">
        <v>16</v>
      </c>
      <c r="C85" s="5">
        <v>88504</v>
      </c>
      <c r="D85" s="5" t="s">
        <v>32</v>
      </c>
      <c r="E85" s="5" t="s">
        <v>74</v>
      </c>
      <c r="F85" s="5">
        <v>1</v>
      </c>
      <c r="G85" s="88">
        <v>687.45</v>
      </c>
      <c r="H85" s="88">
        <f t="shared" si="3"/>
        <v>687.45</v>
      </c>
      <c r="I85" s="88">
        <f t="shared" si="4"/>
        <v>427.662645</v>
      </c>
      <c r="J85" s="88">
        <f t="shared" si="5"/>
        <v>259.78735500000005</v>
      </c>
      <c r="K85" s="88">
        <v>0.25650000000000001</v>
      </c>
      <c r="L85" s="138">
        <f t="shared" si="32"/>
        <v>863.78092500000002</v>
      </c>
    </row>
    <row r="86" spans="1:12" ht="63.75" customHeight="1" x14ac:dyDescent="0.3">
      <c r="A86" s="6" t="s">
        <v>96</v>
      </c>
      <c r="B86" s="17" t="s">
        <v>195</v>
      </c>
      <c r="C86" s="38" t="s">
        <v>18</v>
      </c>
      <c r="D86" s="17" t="s">
        <v>161</v>
      </c>
      <c r="E86" s="5" t="s">
        <v>74</v>
      </c>
      <c r="F86" s="5">
        <v>1</v>
      </c>
      <c r="G86" s="88">
        <v>1024.4100000000001</v>
      </c>
      <c r="H86" s="88">
        <f t="shared" si="3"/>
        <v>1024.4100000000001</v>
      </c>
      <c r="I86" s="88">
        <f t="shared" si="4"/>
        <v>637.28546100000005</v>
      </c>
      <c r="J86" s="88">
        <f t="shared" si="5"/>
        <v>387.12453900000003</v>
      </c>
      <c r="K86" s="88">
        <v>0.25650000000000001</v>
      </c>
      <c r="L86" s="138">
        <f t="shared" si="32"/>
        <v>1287.1711650000002</v>
      </c>
    </row>
    <row r="87" spans="1:12" ht="66" customHeight="1" x14ac:dyDescent="0.3">
      <c r="A87" s="6" t="s">
        <v>97</v>
      </c>
      <c r="B87" s="2" t="s">
        <v>16</v>
      </c>
      <c r="C87" s="5">
        <v>86888</v>
      </c>
      <c r="D87" s="5" t="s">
        <v>231</v>
      </c>
      <c r="E87" s="5" t="s">
        <v>74</v>
      </c>
      <c r="F87" s="5">
        <v>3</v>
      </c>
      <c r="G87" s="143">
        <v>408.37</v>
      </c>
      <c r="H87" s="88">
        <f t="shared" si="3"/>
        <v>1225.1100000000001</v>
      </c>
      <c r="I87" s="88">
        <f t="shared" si="4"/>
        <v>762.14093100000002</v>
      </c>
      <c r="J87" s="88">
        <f t="shared" si="5"/>
        <v>462.96906900000005</v>
      </c>
      <c r="K87" s="88">
        <v>0.25650000000000001</v>
      </c>
      <c r="L87" s="138">
        <f t="shared" si="32"/>
        <v>1539.350715</v>
      </c>
    </row>
    <row r="88" spans="1:12" ht="34.5" customHeight="1" x14ac:dyDescent="0.3">
      <c r="A88" s="6"/>
      <c r="B88" s="101" t="s">
        <v>270</v>
      </c>
      <c r="C88" s="5"/>
      <c r="D88" s="5"/>
      <c r="E88" s="5"/>
      <c r="F88" s="5"/>
      <c r="G88" s="88"/>
      <c r="H88" s="88">
        <f>SUM(H78:H87)</f>
        <v>5695.26</v>
      </c>
      <c r="I88" s="88">
        <f>SUM(I78:I87)</f>
        <v>3543.0212459999998</v>
      </c>
      <c r="J88" s="88">
        <f>SUM(J78:J87)</f>
        <v>2152.238754</v>
      </c>
      <c r="K88" s="88">
        <v>0.25650000000000001</v>
      </c>
      <c r="L88" s="138">
        <f t="shared" si="32"/>
        <v>7156.0941899999998</v>
      </c>
    </row>
    <row r="89" spans="1:12" x14ac:dyDescent="0.3">
      <c r="A89" s="9">
        <v>9</v>
      </c>
      <c r="B89" s="208" t="s">
        <v>41</v>
      </c>
      <c r="C89" s="208"/>
      <c r="D89" s="208"/>
      <c r="E89" s="90"/>
      <c r="F89" s="90"/>
      <c r="G89" s="90"/>
      <c r="H89" s="90"/>
      <c r="I89" s="91"/>
      <c r="J89" s="91"/>
      <c r="K89" s="90"/>
      <c r="L89" s="92"/>
    </row>
    <row r="90" spans="1:12" ht="81.75" customHeight="1" x14ac:dyDescent="0.3">
      <c r="A90" s="6" t="s">
        <v>100</v>
      </c>
      <c r="B90" s="2" t="s">
        <v>16</v>
      </c>
      <c r="C90" s="5">
        <v>97607</v>
      </c>
      <c r="D90" s="5" t="s">
        <v>152</v>
      </c>
      <c r="E90" s="5" t="s">
        <v>74</v>
      </c>
      <c r="F90" s="5">
        <v>2</v>
      </c>
      <c r="G90" s="88">
        <v>88.18</v>
      </c>
      <c r="H90" s="88">
        <f t="shared" si="3"/>
        <v>176.36</v>
      </c>
      <c r="I90" s="88">
        <f t="shared" si="4"/>
        <v>109.71355600000001</v>
      </c>
      <c r="J90" s="88">
        <f t="shared" si="5"/>
        <v>66.646444000000002</v>
      </c>
      <c r="K90" s="88">
        <v>0.25650000000000001</v>
      </c>
      <c r="L90" s="138">
        <f>H90*K90+H90</f>
        <v>221.59634000000003</v>
      </c>
    </row>
    <row r="91" spans="1:12" ht="65.25" customHeight="1" x14ac:dyDescent="0.3">
      <c r="A91" s="32" t="s">
        <v>101</v>
      </c>
      <c r="B91" s="33" t="s">
        <v>16</v>
      </c>
      <c r="C91" s="87">
        <v>93653</v>
      </c>
      <c r="D91" s="53" t="s">
        <v>42</v>
      </c>
      <c r="E91" s="87" t="s">
        <v>74</v>
      </c>
      <c r="F91" s="87">
        <v>2</v>
      </c>
      <c r="G91" s="144">
        <v>11.98</v>
      </c>
      <c r="H91" s="88">
        <f t="shared" si="3"/>
        <v>23.96</v>
      </c>
      <c r="I91" s="88">
        <f t="shared" si="4"/>
        <v>14.905516</v>
      </c>
      <c r="J91" s="88">
        <f t="shared" si="5"/>
        <v>9.0544840000000004</v>
      </c>
      <c r="K91" s="88">
        <v>0.25650000000000001</v>
      </c>
      <c r="L91" s="138">
        <f t="shared" ref="L91:L98" si="33">H91*K91+H91</f>
        <v>30.105740000000001</v>
      </c>
    </row>
    <row r="92" spans="1:12" ht="55.5" customHeight="1" x14ac:dyDescent="0.3">
      <c r="A92" s="6" t="s">
        <v>103</v>
      </c>
      <c r="B92" s="2" t="s">
        <v>16</v>
      </c>
      <c r="C92" s="5">
        <v>97596</v>
      </c>
      <c r="D92" s="54" t="s">
        <v>43</v>
      </c>
      <c r="E92" s="5" t="s">
        <v>74</v>
      </c>
      <c r="F92" s="5">
        <v>5</v>
      </c>
      <c r="G92" s="88">
        <v>53.8</v>
      </c>
      <c r="H92" s="88">
        <f t="shared" si="3"/>
        <v>269</v>
      </c>
      <c r="I92" s="88">
        <f t="shared" si="4"/>
        <v>167.3449</v>
      </c>
      <c r="J92" s="88">
        <f t="shared" si="5"/>
        <v>101.6551</v>
      </c>
      <c r="K92" s="88">
        <v>0.25650000000000001</v>
      </c>
      <c r="L92" s="138">
        <f t="shared" si="33"/>
        <v>337.99850000000004</v>
      </c>
    </row>
    <row r="93" spans="1:12" ht="45" customHeight="1" x14ac:dyDescent="0.3">
      <c r="A93" s="6" t="s">
        <v>105</v>
      </c>
      <c r="B93" s="17" t="s">
        <v>195</v>
      </c>
      <c r="C93" s="38" t="s">
        <v>18</v>
      </c>
      <c r="D93" s="51" t="s">
        <v>124</v>
      </c>
      <c r="E93" s="5" t="s">
        <v>74</v>
      </c>
      <c r="F93" s="5">
        <v>1</v>
      </c>
      <c r="G93" s="88">
        <v>443.99</v>
      </c>
      <c r="H93" s="88">
        <f t="shared" si="3"/>
        <v>443.99</v>
      </c>
      <c r="I93" s="88">
        <f t="shared" si="4"/>
        <v>276.20617900000002</v>
      </c>
      <c r="J93" s="88">
        <f t="shared" si="5"/>
        <v>167.78382100000002</v>
      </c>
      <c r="K93" s="88">
        <v>0.25650000000000001</v>
      </c>
      <c r="L93" s="138">
        <f t="shared" si="33"/>
        <v>557.87343499999997</v>
      </c>
    </row>
    <row r="94" spans="1:12" ht="27" customHeight="1" x14ac:dyDescent="0.3">
      <c r="A94" s="6" t="s">
        <v>243</v>
      </c>
      <c r="B94" s="2" t="s">
        <v>24</v>
      </c>
      <c r="C94" s="5">
        <v>43668</v>
      </c>
      <c r="D94" s="54" t="s">
        <v>118</v>
      </c>
      <c r="E94" s="5" t="s">
        <v>74</v>
      </c>
      <c r="F94" s="5">
        <v>1</v>
      </c>
      <c r="G94" s="88">
        <v>38.869999999999997</v>
      </c>
      <c r="H94" s="88">
        <f t="shared" si="3"/>
        <v>38.869999999999997</v>
      </c>
      <c r="I94" s="88">
        <f t="shared" si="4"/>
        <v>24.181026999999997</v>
      </c>
      <c r="J94" s="88">
        <f t="shared" si="5"/>
        <v>14.688972999999999</v>
      </c>
      <c r="K94" s="88">
        <v>0.25650000000000001</v>
      </c>
      <c r="L94" s="138">
        <f t="shared" si="33"/>
        <v>48.840154999999996</v>
      </c>
    </row>
    <row r="95" spans="1:12" ht="112.5" customHeight="1" x14ac:dyDescent="0.3">
      <c r="A95" s="6" t="s">
        <v>106</v>
      </c>
      <c r="B95" s="2" t="s">
        <v>16</v>
      </c>
      <c r="C95" s="5">
        <v>97668</v>
      </c>
      <c r="D95" s="52" t="s">
        <v>44</v>
      </c>
      <c r="E95" s="5" t="s">
        <v>73</v>
      </c>
      <c r="F95" s="5">
        <v>1</v>
      </c>
      <c r="G95" s="88">
        <v>11.66</v>
      </c>
      <c r="H95" s="88">
        <f t="shared" si="3"/>
        <v>11.66</v>
      </c>
      <c r="I95" s="88">
        <f t="shared" si="4"/>
        <v>7.2536860000000001</v>
      </c>
      <c r="J95" s="88">
        <f t="shared" si="5"/>
        <v>4.4063140000000001</v>
      </c>
      <c r="K95" s="88">
        <v>0.25650000000000001</v>
      </c>
      <c r="L95" s="138">
        <f t="shared" si="33"/>
        <v>14.650790000000001</v>
      </c>
    </row>
    <row r="96" spans="1:12" ht="104.25" customHeight="1" x14ac:dyDescent="0.3">
      <c r="A96" s="6" t="s">
        <v>107</v>
      </c>
      <c r="B96" s="2" t="s">
        <v>16</v>
      </c>
      <c r="C96" s="5">
        <v>93145</v>
      </c>
      <c r="D96" s="52" t="s">
        <v>45</v>
      </c>
      <c r="E96" s="5" t="s">
        <v>74</v>
      </c>
      <c r="F96" s="5">
        <v>4</v>
      </c>
      <c r="G96" s="88">
        <v>221.42</v>
      </c>
      <c r="H96" s="88">
        <f t="shared" si="3"/>
        <v>885.68</v>
      </c>
      <c r="I96" s="88">
        <f t="shared" si="4"/>
        <v>550.98152799999991</v>
      </c>
      <c r="J96" s="88">
        <f t="shared" si="5"/>
        <v>334.69847199999998</v>
      </c>
      <c r="K96" s="88">
        <v>0.25650000000000001</v>
      </c>
      <c r="L96" s="138">
        <f t="shared" si="33"/>
        <v>1112.8569199999999</v>
      </c>
    </row>
    <row r="97" spans="1:12" ht="69" customHeight="1" x14ac:dyDescent="0.3">
      <c r="A97" s="6" t="s">
        <v>108</v>
      </c>
      <c r="B97" s="2" t="s">
        <v>16</v>
      </c>
      <c r="C97" s="5">
        <v>97592</v>
      </c>
      <c r="D97" s="51" t="s">
        <v>169</v>
      </c>
      <c r="E97" s="38" t="s">
        <v>74</v>
      </c>
      <c r="F97" s="38">
        <v>5</v>
      </c>
      <c r="G97" s="137">
        <v>43.87</v>
      </c>
      <c r="H97" s="88">
        <f t="shared" si="3"/>
        <v>219.35</v>
      </c>
      <c r="I97" s="88">
        <f t="shared" si="4"/>
        <v>136.45763499999998</v>
      </c>
      <c r="J97" s="88">
        <f t="shared" si="5"/>
        <v>82.892364999999998</v>
      </c>
      <c r="K97" s="88">
        <v>0.25650000000000001</v>
      </c>
      <c r="L97" s="138">
        <f t="shared" si="33"/>
        <v>275.61327499999999</v>
      </c>
    </row>
    <row r="98" spans="1:12" ht="28.5" customHeight="1" x14ac:dyDescent="0.3">
      <c r="A98" s="102"/>
      <c r="B98" s="101" t="s">
        <v>270</v>
      </c>
      <c r="C98" s="205"/>
      <c r="D98" s="206"/>
      <c r="E98" s="206"/>
      <c r="F98" s="206"/>
      <c r="G98" s="207"/>
      <c r="H98" s="145">
        <f>SUM(H90:H97)</f>
        <v>2068.87</v>
      </c>
      <c r="I98" s="145">
        <f>SUM(I90:I97)</f>
        <v>1287.0440269999999</v>
      </c>
      <c r="J98" s="145">
        <f>SUM(J90:J97)</f>
        <v>781.82597300000009</v>
      </c>
      <c r="K98" s="145">
        <v>0.25650000000000001</v>
      </c>
      <c r="L98" s="150">
        <f t="shared" si="33"/>
        <v>2599.535155</v>
      </c>
    </row>
    <row r="99" spans="1:12" x14ac:dyDescent="0.3">
      <c r="A99" s="28"/>
      <c r="B99" s="86"/>
      <c r="C99" s="86"/>
      <c r="D99" s="86"/>
      <c r="E99" s="86"/>
      <c r="F99" s="86"/>
      <c r="G99" s="86"/>
      <c r="H99" s="5"/>
      <c r="I99" s="85"/>
      <c r="J99" s="85"/>
      <c r="K99" s="5"/>
      <c r="L99" s="31"/>
    </row>
    <row r="100" spans="1:12" x14ac:dyDescent="0.3">
      <c r="A100" s="9">
        <v>10</v>
      </c>
      <c r="B100" s="208" t="s">
        <v>60</v>
      </c>
      <c r="C100" s="208"/>
      <c r="D100" s="208"/>
      <c r="E100" s="90"/>
      <c r="F100" s="90"/>
      <c r="G100" s="90"/>
      <c r="H100" s="90"/>
      <c r="I100" s="91"/>
      <c r="J100" s="91"/>
      <c r="K100" s="90"/>
      <c r="L100" s="92"/>
    </row>
    <row r="101" spans="1:12" ht="66" customHeight="1" x14ac:dyDescent="0.3">
      <c r="A101" s="6" t="s">
        <v>112</v>
      </c>
      <c r="B101" s="17" t="s">
        <v>16</v>
      </c>
      <c r="C101" s="38">
        <v>36080</v>
      </c>
      <c r="D101" s="17" t="s">
        <v>122</v>
      </c>
      <c r="E101" s="5" t="s">
        <v>74</v>
      </c>
      <c r="F101" s="5">
        <v>3</v>
      </c>
      <c r="G101" s="85">
        <v>151.31</v>
      </c>
      <c r="H101" s="85">
        <f t="shared" si="3"/>
        <v>453.93</v>
      </c>
      <c r="I101" s="85">
        <f t="shared" si="4"/>
        <v>282.38985300000002</v>
      </c>
      <c r="J101" s="85">
        <f t="shared" si="5"/>
        <v>171.54014700000002</v>
      </c>
      <c r="K101" s="85">
        <v>0.25650000000000001</v>
      </c>
      <c r="L101" s="138">
        <f>H101*K101+H101</f>
        <v>570.36304500000006</v>
      </c>
    </row>
    <row r="102" spans="1:12" ht="30" customHeight="1" x14ac:dyDescent="0.3">
      <c r="A102" s="6" t="s">
        <v>113</v>
      </c>
      <c r="B102" s="17" t="s">
        <v>195</v>
      </c>
      <c r="C102" s="38" t="s">
        <v>18</v>
      </c>
      <c r="D102" s="5" t="s">
        <v>61</v>
      </c>
      <c r="E102" s="5" t="s">
        <v>117</v>
      </c>
      <c r="F102" s="38">
        <v>1</v>
      </c>
      <c r="G102" s="146">
        <v>716.34</v>
      </c>
      <c r="H102" s="85">
        <f t="shared" si="3"/>
        <v>716.34</v>
      </c>
      <c r="I102" s="85">
        <f t="shared" si="4"/>
        <v>445.63511399999999</v>
      </c>
      <c r="J102" s="85">
        <f t="shared" si="5"/>
        <v>270.70488600000004</v>
      </c>
      <c r="K102" s="85">
        <v>0.25650000000000001</v>
      </c>
      <c r="L102" s="138">
        <f t="shared" ref="L102:L105" si="34">H102*K102+H102</f>
        <v>900.08121000000006</v>
      </c>
    </row>
    <row r="103" spans="1:12" ht="58.5" customHeight="1" x14ac:dyDescent="0.3">
      <c r="A103" s="6" t="s">
        <v>114</v>
      </c>
      <c r="B103" s="2" t="s">
        <v>164</v>
      </c>
      <c r="C103" s="2">
        <v>100870</v>
      </c>
      <c r="D103" s="17" t="s">
        <v>165</v>
      </c>
      <c r="E103" s="5" t="s">
        <v>74</v>
      </c>
      <c r="F103" s="5">
        <v>2</v>
      </c>
      <c r="G103" s="85">
        <v>221</v>
      </c>
      <c r="H103" s="85">
        <f t="shared" si="3"/>
        <v>442</v>
      </c>
      <c r="I103" s="85">
        <f t="shared" si="4"/>
        <v>274.96819999999997</v>
      </c>
      <c r="J103" s="85">
        <f t="shared" si="5"/>
        <v>167.0318</v>
      </c>
      <c r="K103" s="85">
        <v>0.25650000000000001</v>
      </c>
      <c r="L103" s="138">
        <f t="shared" si="34"/>
        <v>555.37300000000005</v>
      </c>
    </row>
    <row r="104" spans="1:12" ht="69.75" customHeight="1" x14ac:dyDescent="0.3">
      <c r="A104" s="6" t="s">
        <v>115</v>
      </c>
      <c r="B104" s="14" t="s">
        <v>16</v>
      </c>
      <c r="C104" s="14">
        <v>95546</v>
      </c>
      <c r="D104" s="25" t="s">
        <v>240</v>
      </c>
      <c r="E104" s="5" t="s">
        <v>74</v>
      </c>
      <c r="F104" s="2">
        <v>3</v>
      </c>
      <c r="G104" s="147">
        <v>136.55000000000001</v>
      </c>
      <c r="H104" s="85">
        <f t="shared" si="3"/>
        <v>409.65000000000003</v>
      </c>
      <c r="I104" s="85">
        <f t="shared" si="4"/>
        <v>254.843265</v>
      </c>
      <c r="J104" s="85">
        <f t="shared" si="5"/>
        <v>154.80673500000003</v>
      </c>
      <c r="K104" s="85">
        <v>0.25650000000000001</v>
      </c>
      <c r="L104" s="138">
        <f t="shared" si="34"/>
        <v>514.72522500000002</v>
      </c>
    </row>
    <row r="105" spans="1:12" ht="26.25" customHeight="1" x14ac:dyDescent="0.3">
      <c r="A105" s="6"/>
      <c r="B105" s="101" t="s">
        <v>270</v>
      </c>
      <c r="C105" s="205"/>
      <c r="D105" s="206"/>
      <c r="E105" s="206"/>
      <c r="F105" s="206"/>
      <c r="G105" s="207"/>
      <c r="H105" s="88">
        <f>SUM(H101:H104)</f>
        <v>2021.92</v>
      </c>
      <c r="I105" s="88">
        <f>SUM(I101:I104)</f>
        <v>1257.8364320000001</v>
      </c>
      <c r="J105" s="88">
        <f>SUM(J101:J104)</f>
        <v>764.08356800000001</v>
      </c>
      <c r="K105" s="88">
        <v>0.25650000000000001</v>
      </c>
      <c r="L105" s="150">
        <f t="shared" si="34"/>
        <v>2540.5424800000001</v>
      </c>
    </row>
    <row r="106" spans="1:12" x14ac:dyDescent="0.3">
      <c r="A106" s="205"/>
      <c r="B106" s="206"/>
      <c r="C106" s="206"/>
      <c r="D106" s="206"/>
      <c r="E106" s="206"/>
      <c r="F106" s="206"/>
      <c r="G106" s="206"/>
      <c r="H106" s="206"/>
      <c r="I106" s="206"/>
      <c r="J106" s="206"/>
      <c r="K106" s="206"/>
      <c r="L106" s="207"/>
    </row>
    <row r="107" spans="1:12" x14ac:dyDescent="0.3">
      <c r="A107" s="199" t="s">
        <v>341</v>
      </c>
      <c r="B107" s="200"/>
      <c r="C107" s="200"/>
      <c r="D107" s="200"/>
      <c r="E107" s="200"/>
      <c r="F107" s="200"/>
      <c r="G107" s="201"/>
      <c r="H107" s="88">
        <f>H14+H24+H39+H49+H62+H69+H75+H88+H98+H105</f>
        <v>137644.64941000001</v>
      </c>
      <c r="I107" s="88">
        <f t="shared" ref="I107" si="35">H107*62.21%</f>
        <v>85628.736397961009</v>
      </c>
      <c r="J107" s="88">
        <f t="shared" ref="J107" si="36">H107*37.79%</f>
        <v>52015.913012039004</v>
      </c>
      <c r="K107" s="88">
        <v>0.25650000000000001</v>
      </c>
      <c r="L107" s="150">
        <f>H107*K107+H107</f>
        <v>172950.50198366502</v>
      </c>
    </row>
    <row r="108" spans="1:12" x14ac:dyDescent="0.3">
      <c r="A108" s="15"/>
    </row>
    <row r="109" spans="1:12" x14ac:dyDescent="0.3">
      <c r="D109" s="148"/>
    </row>
    <row r="110" spans="1:12" x14ac:dyDescent="0.3">
      <c r="B110" s="23"/>
      <c r="C110" s="23"/>
      <c r="E110" s="35"/>
    </row>
    <row r="111" spans="1:12" x14ac:dyDescent="0.3">
      <c r="E111" s="35"/>
    </row>
    <row r="112" spans="1:12" x14ac:dyDescent="0.3">
      <c r="D112" s="149" t="s">
        <v>345</v>
      </c>
      <c r="E112" s="23"/>
    </row>
    <row r="113" spans="4:11" x14ac:dyDescent="0.3">
      <c r="D113" s="149" t="s">
        <v>332</v>
      </c>
    </row>
    <row r="114" spans="4:11" x14ac:dyDescent="0.3">
      <c r="D114" s="149" t="s">
        <v>346</v>
      </c>
    </row>
    <row r="115" spans="4:11" x14ac:dyDescent="0.3">
      <c r="D115" s="149" t="s">
        <v>344</v>
      </c>
    </row>
    <row r="118" spans="4:11" x14ac:dyDescent="0.3">
      <c r="I118" s="62"/>
      <c r="K118" s="7"/>
    </row>
    <row r="119" spans="4:11" x14ac:dyDescent="0.3">
      <c r="I119" s="62"/>
      <c r="K119" s="7"/>
    </row>
    <row r="120" spans="4:11" x14ac:dyDescent="0.3">
      <c r="I120" s="62"/>
      <c r="K120" s="7"/>
    </row>
    <row r="121" spans="4:11" x14ac:dyDescent="0.3">
      <c r="I121" s="62"/>
      <c r="K121" s="7"/>
    </row>
    <row r="122" spans="4:11" x14ac:dyDescent="0.3">
      <c r="I122" s="62"/>
      <c r="K122" s="7"/>
    </row>
    <row r="123" spans="4:11" x14ac:dyDescent="0.3">
      <c r="I123" s="62"/>
      <c r="K123" s="7"/>
    </row>
    <row r="124" spans="4:11" x14ac:dyDescent="0.3">
      <c r="I124" s="62"/>
      <c r="K124" s="7"/>
    </row>
  </sheetData>
  <mergeCells count="36">
    <mergeCell ref="A4:L4"/>
    <mergeCell ref="B25:D25"/>
    <mergeCell ref="B40:D40"/>
    <mergeCell ref="B50:D50"/>
    <mergeCell ref="A6:C6"/>
    <mergeCell ref="E10:L10"/>
    <mergeCell ref="F8:F9"/>
    <mergeCell ref="A8:A9"/>
    <mergeCell ref="B8:B9"/>
    <mergeCell ref="C8:C9"/>
    <mergeCell ref="D8:D9"/>
    <mergeCell ref="E8:E9"/>
    <mergeCell ref="G8:G9"/>
    <mergeCell ref="L8:L9"/>
    <mergeCell ref="B10:D10"/>
    <mergeCell ref="H8:K8"/>
    <mergeCell ref="A1:D1"/>
    <mergeCell ref="A2:D2"/>
    <mergeCell ref="A3:D3"/>
    <mergeCell ref="A5:D5"/>
    <mergeCell ref="A107:G107"/>
    <mergeCell ref="C75:G75"/>
    <mergeCell ref="C14:G14"/>
    <mergeCell ref="C24:G24"/>
    <mergeCell ref="C39:G39"/>
    <mergeCell ref="C49:G49"/>
    <mergeCell ref="C62:G62"/>
    <mergeCell ref="C98:G98"/>
    <mergeCell ref="C105:G105"/>
    <mergeCell ref="A106:L106"/>
    <mergeCell ref="B89:D89"/>
    <mergeCell ref="B77:D77"/>
    <mergeCell ref="B100:D100"/>
    <mergeCell ref="B63:D63"/>
    <mergeCell ref="B70:D70"/>
    <mergeCell ref="B15:D15"/>
  </mergeCells>
  <pageMargins left="0.25" right="0.25" top="0.75" bottom="0.75" header="0.3" footer="0.3"/>
  <pageSetup paperSize="9" scale="9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tabSelected="1" workbookViewId="0">
      <selection activeCell="D23" sqref="D23"/>
    </sheetView>
  </sheetViews>
  <sheetFormatPr defaultRowHeight="14.4" x14ac:dyDescent="0.3"/>
  <cols>
    <col min="1" max="1" width="6.88671875" customWidth="1"/>
    <col min="2" max="2" width="57.33203125" customWidth="1"/>
    <col min="3" max="3" width="18.5546875" customWidth="1"/>
    <col min="4" max="4" width="9" bestFit="1" customWidth="1"/>
    <col min="5" max="5" width="11.33203125" customWidth="1"/>
    <col min="6" max="6" width="11" customWidth="1"/>
    <col min="7" max="7" width="9.109375" customWidth="1"/>
    <col min="8" max="8" width="11.21875" customWidth="1"/>
    <col min="9" max="9" width="9.44140625" customWidth="1"/>
    <col min="10" max="10" width="12" customWidth="1"/>
  </cols>
  <sheetData>
    <row r="2" spans="1:10" x14ac:dyDescent="0.3">
      <c r="B2" s="229" t="s">
        <v>347</v>
      </c>
      <c r="C2" s="229"/>
      <c r="D2" s="229"/>
      <c r="E2" s="229"/>
      <c r="F2" s="229"/>
      <c r="G2" s="229"/>
      <c r="H2" s="229"/>
    </row>
    <row r="3" spans="1:10" x14ac:dyDescent="0.3">
      <c r="A3" s="234" t="s">
        <v>244</v>
      </c>
      <c r="B3" s="234" t="s">
        <v>245</v>
      </c>
      <c r="C3" s="234" t="s">
        <v>246</v>
      </c>
      <c r="D3" s="94"/>
      <c r="E3" s="231" t="s">
        <v>247</v>
      </c>
      <c r="F3" s="232"/>
      <c r="G3" s="232"/>
      <c r="H3" s="232"/>
      <c r="I3" s="232"/>
      <c r="J3" s="233"/>
    </row>
    <row r="4" spans="1:10" x14ac:dyDescent="0.3">
      <c r="A4" s="234"/>
      <c r="B4" s="234"/>
      <c r="C4" s="234"/>
      <c r="D4" s="94"/>
      <c r="E4" s="230" t="s">
        <v>248</v>
      </c>
      <c r="F4" s="230"/>
      <c r="G4" s="230" t="s">
        <v>249</v>
      </c>
      <c r="H4" s="230"/>
      <c r="I4" s="230" t="s">
        <v>273</v>
      </c>
      <c r="J4" s="230"/>
    </row>
    <row r="5" spans="1:10" x14ac:dyDescent="0.3">
      <c r="A5" s="234"/>
      <c r="B5" s="234"/>
      <c r="C5" s="234"/>
      <c r="D5" s="94" t="s">
        <v>250</v>
      </c>
      <c r="E5" s="95" t="s">
        <v>251</v>
      </c>
      <c r="F5" s="95" t="s">
        <v>252</v>
      </c>
      <c r="G5" s="95" t="s">
        <v>251</v>
      </c>
      <c r="H5" s="95" t="s">
        <v>252</v>
      </c>
      <c r="I5" s="103" t="s">
        <v>251</v>
      </c>
      <c r="J5" s="103" t="s">
        <v>252</v>
      </c>
    </row>
    <row r="6" spans="1:10" x14ac:dyDescent="0.3">
      <c r="A6" s="78"/>
      <c r="B6" s="78"/>
      <c r="C6" s="78"/>
      <c r="D6" s="78"/>
      <c r="E6" s="78"/>
      <c r="F6" s="78"/>
      <c r="G6" s="78"/>
      <c r="H6" s="78"/>
      <c r="I6" s="78"/>
      <c r="J6" s="78"/>
    </row>
    <row r="7" spans="1:10" x14ac:dyDescent="0.3">
      <c r="A7" s="94">
        <v>1</v>
      </c>
      <c r="B7" s="94" t="str">
        <f>'Orçamento '!B10:D10</f>
        <v>Serviços Preliminares</v>
      </c>
      <c r="C7" s="96">
        <f>'Orçamento '!L14</f>
        <v>4709.6891925999998</v>
      </c>
      <c r="D7" s="97">
        <f>C7/C18</f>
        <v>2.7231428290649458E-2</v>
      </c>
      <c r="E7" s="98">
        <v>1</v>
      </c>
      <c r="F7" s="99">
        <f t="shared" ref="F7:F16" si="0">C7*E7</f>
        <v>4709.6891925999998</v>
      </c>
      <c r="G7" s="98">
        <v>0</v>
      </c>
      <c r="H7" s="99">
        <f t="shared" ref="H7:H16" si="1">C7*G7</f>
        <v>0</v>
      </c>
      <c r="I7" s="98">
        <v>0</v>
      </c>
      <c r="J7" s="99">
        <f t="shared" ref="J7:J16" si="2">C7*I7</f>
        <v>0</v>
      </c>
    </row>
    <row r="8" spans="1:10" x14ac:dyDescent="0.3">
      <c r="A8" s="94">
        <v>2</v>
      </c>
      <c r="B8" s="94" t="str">
        <f>'Orçamento '!B15:D15</f>
        <v>Estruturas de Concreto Armado</v>
      </c>
      <c r="C8" s="96">
        <f>'Orçamento '!L24</f>
        <v>19378.030751065002</v>
      </c>
      <c r="D8" s="97">
        <f>C8/C18</f>
        <v>0.11204379593471916</v>
      </c>
      <c r="E8" s="98">
        <v>0.8</v>
      </c>
      <c r="F8" s="99">
        <f t="shared" si="0"/>
        <v>15502.424600852002</v>
      </c>
      <c r="G8" s="98">
        <v>0.2</v>
      </c>
      <c r="H8" s="99">
        <f t="shared" si="1"/>
        <v>3875.6061502130005</v>
      </c>
      <c r="I8" s="98">
        <v>0</v>
      </c>
      <c r="J8" s="99">
        <f t="shared" si="2"/>
        <v>0</v>
      </c>
    </row>
    <row r="9" spans="1:10" x14ac:dyDescent="0.3">
      <c r="A9" s="94">
        <v>3</v>
      </c>
      <c r="B9" s="94" t="str">
        <f>'Orçamento '!B25:D25</f>
        <v>Paredes, Painéis e Revestimentos de Parede</v>
      </c>
      <c r="C9" s="96">
        <f>'Orçamento '!L39</f>
        <v>28791.072468550003</v>
      </c>
      <c r="D9" s="97">
        <f>C9/C18</f>
        <v>0.1664700138960527</v>
      </c>
      <c r="E9" s="98">
        <v>0.5</v>
      </c>
      <c r="F9" s="99">
        <f t="shared" si="0"/>
        <v>14395.536234275001</v>
      </c>
      <c r="G9" s="98">
        <v>0.3</v>
      </c>
      <c r="H9" s="99">
        <f t="shared" si="1"/>
        <v>8637.3217405650012</v>
      </c>
      <c r="I9" s="98">
        <v>0.2</v>
      </c>
      <c r="J9" s="99">
        <f t="shared" si="2"/>
        <v>5758.2144937100011</v>
      </c>
    </row>
    <row r="10" spans="1:10" x14ac:dyDescent="0.3">
      <c r="A10" s="94">
        <v>4</v>
      </c>
      <c r="B10" s="94" t="str">
        <f>'Orçamento '!B40:D40</f>
        <v>Cobertura e Fechamentos</v>
      </c>
      <c r="C10" s="96">
        <f>'Orçamento '!L49</f>
        <v>36912.966965</v>
      </c>
      <c r="D10" s="97">
        <f>C10/C18</f>
        <v>0.21343081715071516</v>
      </c>
      <c r="E10" s="98">
        <v>0</v>
      </c>
      <c r="F10" s="99">
        <f t="shared" si="0"/>
        <v>0</v>
      </c>
      <c r="G10" s="98">
        <v>0.5</v>
      </c>
      <c r="H10" s="99">
        <f t="shared" si="1"/>
        <v>18456.4834825</v>
      </c>
      <c r="I10" s="98">
        <v>0.5</v>
      </c>
      <c r="J10" s="99">
        <f t="shared" si="2"/>
        <v>18456.4834825</v>
      </c>
    </row>
    <row r="11" spans="1:10" x14ac:dyDescent="0.3">
      <c r="A11" s="94">
        <v>5</v>
      </c>
      <c r="B11" s="94" t="str">
        <f>'Orçamento '!B50:D50</f>
        <v>Pisos, Revestimentos de Pisos e Impermeabilizações</v>
      </c>
      <c r="C11" s="96">
        <f>'Orçamento '!L62</f>
        <v>49900.669019950001</v>
      </c>
      <c r="D11" s="97">
        <f>C11/C18</f>
        <v>0.28852572526596698</v>
      </c>
      <c r="E11" s="98">
        <v>0.2</v>
      </c>
      <c r="F11" s="99">
        <f t="shared" si="0"/>
        <v>9980.1338039900002</v>
      </c>
      <c r="G11" s="98">
        <v>0.5</v>
      </c>
      <c r="H11" s="99">
        <f t="shared" si="1"/>
        <v>24950.334509975</v>
      </c>
      <c r="I11" s="98">
        <v>0.3</v>
      </c>
      <c r="J11" s="99">
        <f t="shared" si="2"/>
        <v>14970.200705985</v>
      </c>
    </row>
    <row r="12" spans="1:10" x14ac:dyDescent="0.3">
      <c r="A12" s="94">
        <v>6</v>
      </c>
      <c r="B12" s="94" t="str">
        <f>'Orçamento '!B63:D63</f>
        <v xml:space="preserve">Esquadrias </v>
      </c>
      <c r="C12" s="96">
        <f>'Orçamento '!L69</f>
        <v>6512.5538414999992</v>
      </c>
      <c r="D12" s="97">
        <f>C12/C18</f>
        <v>3.7655593749679341E-2</v>
      </c>
      <c r="E12" s="98">
        <v>0</v>
      </c>
      <c r="F12" s="99">
        <f t="shared" si="0"/>
        <v>0</v>
      </c>
      <c r="G12" s="98">
        <v>0</v>
      </c>
      <c r="H12" s="99">
        <f t="shared" si="1"/>
        <v>0</v>
      </c>
      <c r="I12" s="98">
        <v>1</v>
      </c>
      <c r="J12" s="99">
        <f t="shared" si="2"/>
        <v>6512.5538414999992</v>
      </c>
    </row>
    <row r="13" spans="1:10" x14ac:dyDescent="0.3">
      <c r="A13" s="94">
        <v>7</v>
      </c>
      <c r="B13" s="94" t="str">
        <f>'Orçamento '!B70:D70</f>
        <v>Sanitárias - Tubos, Conexões e Equipamentos</v>
      </c>
      <c r="C13" s="96">
        <f>'Orçamento '!L75</f>
        <v>14449.347919999998</v>
      </c>
      <c r="D13" s="97">
        <f>C13/C18</f>
        <v>8.3546146176347758E-2</v>
      </c>
      <c r="E13" s="98">
        <v>0.7</v>
      </c>
      <c r="F13" s="99">
        <f t="shared" si="0"/>
        <v>10114.543543999998</v>
      </c>
      <c r="G13" s="98">
        <v>0.3</v>
      </c>
      <c r="H13" s="99">
        <f t="shared" si="1"/>
        <v>4334.8043759999991</v>
      </c>
      <c r="I13" s="98">
        <v>0</v>
      </c>
      <c r="J13" s="99">
        <f t="shared" si="2"/>
        <v>0</v>
      </c>
    </row>
    <row r="14" spans="1:10" x14ac:dyDescent="0.3">
      <c r="A14" s="94">
        <v>8</v>
      </c>
      <c r="B14" s="94" t="str">
        <f>'Orçamento '!B77:D77</f>
        <v>Água Fria e Alimentação - Tubos, Conexões, Aparelhos e Bancadas</v>
      </c>
      <c r="C14" s="96">
        <f>'Orçamento '!L88</f>
        <v>7156.0941899999998</v>
      </c>
      <c r="D14" s="97">
        <f>C14/C18</f>
        <v>4.1376544779707466E-2</v>
      </c>
      <c r="E14" s="98">
        <v>0.2</v>
      </c>
      <c r="F14" s="99">
        <f t="shared" si="0"/>
        <v>1431.218838</v>
      </c>
      <c r="G14" s="98">
        <v>0.2</v>
      </c>
      <c r="H14" s="99">
        <f t="shared" si="1"/>
        <v>1431.218838</v>
      </c>
      <c r="I14" s="98">
        <v>0.6</v>
      </c>
      <c r="J14" s="99">
        <f t="shared" si="2"/>
        <v>4293.6565139999993</v>
      </c>
    </row>
    <row r="15" spans="1:10" x14ac:dyDescent="0.3">
      <c r="A15" s="94">
        <v>9</v>
      </c>
      <c r="B15" s="94" t="str">
        <f>'Orçamento '!B89:D89</f>
        <v>Instalações Elétricas</v>
      </c>
      <c r="C15" s="96">
        <f>'Orçamento '!L98</f>
        <v>2599.535155</v>
      </c>
      <c r="D15" s="97">
        <f>C15/C18</f>
        <v>1.5030515235194424E-2</v>
      </c>
      <c r="E15" s="98">
        <v>0.3</v>
      </c>
      <c r="F15" s="99">
        <f t="shared" si="0"/>
        <v>779.86054649999994</v>
      </c>
      <c r="G15" s="98">
        <v>0.3</v>
      </c>
      <c r="H15" s="99">
        <f t="shared" si="1"/>
        <v>779.86054649999994</v>
      </c>
      <c r="I15" s="98">
        <v>0.4</v>
      </c>
      <c r="J15" s="99">
        <f t="shared" si="2"/>
        <v>1039.8140620000001</v>
      </c>
    </row>
    <row r="16" spans="1:10" x14ac:dyDescent="0.3">
      <c r="A16" s="94">
        <v>10</v>
      </c>
      <c r="B16" s="94" t="str">
        <f>'Orçamento '!B100:D100</f>
        <v>Acessórios e Detalhes Complementares</v>
      </c>
      <c r="C16" s="96">
        <f>'Orçamento '!L105</f>
        <v>2540.5424800000001</v>
      </c>
      <c r="D16" s="97">
        <f>C16/C18</f>
        <v>1.4689419520967634E-2</v>
      </c>
      <c r="E16" s="98">
        <v>0</v>
      </c>
      <c r="F16" s="99">
        <f t="shared" si="0"/>
        <v>0</v>
      </c>
      <c r="G16" s="98">
        <v>0</v>
      </c>
      <c r="H16" s="99">
        <f t="shared" si="1"/>
        <v>0</v>
      </c>
      <c r="I16" s="98">
        <v>1</v>
      </c>
      <c r="J16" s="99">
        <f t="shared" si="2"/>
        <v>2540.5424800000001</v>
      </c>
    </row>
    <row r="17" spans="1:10" x14ac:dyDescent="0.3">
      <c r="A17" s="94"/>
      <c r="B17" s="94"/>
      <c r="C17" s="96"/>
      <c r="D17" s="97"/>
      <c r="E17" s="98"/>
      <c r="F17" s="99"/>
      <c r="G17" s="98"/>
      <c r="H17" s="99"/>
      <c r="I17" s="98"/>
      <c r="J17" s="99"/>
    </row>
    <row r="18" spans="1:10" x14ac:dyDescent="0.3">
      <c r="A18" s="78"/>
      <c r="B18" s="94" t="s">
        <v>253</v>
      </c>
      <c r="C18" s="96">
        <f>SUM(C7:C16)</f>
        <v>172950.50198366499</v>
      </c>
      <c r="D18" s="100">
        <f>SUM(D7:D16)</f>
        <v>0.99999999999999989</v>
      </c>
      <c r="E18" s="97">
        <f>ROUND((F18/C18),2)</f>
        <v>0.33</v>
      </c>
      <c r="F18" s="96">
        <f>SUM(F7:F17)</f>
        <v>56913.406760217003</v>
      </c>
      <c r="G18" s="97">
        <f>ROUND((H18/C18),2)</f>
        <v>0.36</v>
      </c>
      <c r="H18" s="96">
        <f>SUM(H7:H17)</f>
        <v>62465.629643753004</v>
      </c>
      <c r="I18" s="97">
        <f>ROUND((J18/C18),2)</f>
        <v>0.31</v>
      </c>
      <c r="J18" s="96">
        <f>SUM(J7:J17)</f>
        <v>53571.465579694996</v>
      </c>
    </row>
    <row r="19" spans="1:10" x14ac:dyDescent="0.3">
      <c r="A19" s="78"/>
      <c r="B19" s="94" t="s">
        <v>254</v>
      </c>
      <c r="C19" s="94"/>
      <c r="D19" s="94"/>
      <c r="E19" s="100">
        <f>E18</f>
        <v>0.33</v>
      </c>
      <c r="F19" s="96">
        <f>F18</f>
        <v>56913.406760217003</v>
      </c>
      <c r="G19" s="100">
        <f>E19+G18</f>
        <v>0.69</v>
      </c>
      <c r="H19" s="96">
        <f>H18+F19</f>
        <v>119379.03640397001</v>
      </c>
      <c r="I19" s="100">
        <f>G19+I18</f>
        <v>1</v>
      </c>
      <c r="J19" s="96">
        <f>J18+H19</f>
        <v>172950.50198366499</v>
      </c>
    </row>
    <row r="20" spans="1:10" x14ac:dyDescent="0.3">
      <c r="A20" s="78"/>
      <c r="B20" s="94"/>
      <c r="C20" s="94"/>
      <c r="D20" s="94"/>
      <c r="E20" s="78"/>
      <c r="F20" s="78"/>
      <c r="G20" s="78"/>
      <c r="H20" s="78"/>
      <c r="I20" s="78"/>
      <c r="J20" s="78"/>
    </row>
    <row r="23" spans="1:10" x14ac:dyDescent="0.3">
      <c r="B23" s="148"/>
    </row>
    <row r="24" spans="1:10" x14ac:dyDescent="0.3">
      <c r="B24" s="148"/>
    </row>
    <row r="25" spans="1:10" x14ac:dyDescent="0.3">
      <c r="B25" s="148"/>
      <c r="C25" s="228" t="s">
        <v>345</v>
      </c>
      <c r="D25" s="228"/>
      <c r="E25" s="228"/>
    </row>
    <row r="26" spans="1:10" x14ac:dyDescent="0.3">
      <c r="B26" s="148"/>
      <c r="C26" s="228" t="s">
        <v>332</v>
      </c>
      <c r="D26" s="228"/>
      <c r="E26" s="228"/>
    </row>
    <row r="27" spans="1:10" x14ac:dyDescent="0.3">
      <c r="C27" s="228" t="s">
        <v>346</v>
      </c>
      <c r="D27" s="228"/>
      <c r="E27" s="228"/>
    </row>
    <row r="28" spans="1:10" x14ac:dyDescent="0.3">
      <c r="C28" s="228" t="s">
        <v>344</v>
      </c>
      <c r="D28" s="228"/>
      <c r="E28" s="228"/>
    </row>
  </sheetData>
  <mergeCells count="12">
    <mergeCell ref="A3:A5"/>
    <mergeCell ref="B3:B5"/>
    <mergeCell ref="C3:C5"/>
    <mergeCell ref="E4:F4"/>
    <mergeCell ref="C27:E27"/>
    <mergeCell ref="C28:E28"/>
    <mergeCell ref="B2:H2"/>
    <mergeCell ref="I4:J4"/>
    <mergeCell ref="E3:J3"/>
    <mergeCell ref="C25:E25"/>
    <mergeCell ref="C26:E26"/>
    <mergeCell ref="G4:H4"/>
  </mergeCells>
  <pageMargins left="0.511811024" right="0.511811024" top="0.78740157499999996" bottom="0.78740157499999996" header="0.31496062000000002" footer="0.31496062000000002"/>
  <pageSetup paperSize="9" scale="8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D19" sqref="D19"/>
    </sheetView>
  </sheetViews>
  <sheetFormatPr defaultRowHeight="14.4" x14ac:dyDescent="0.3"/>
  <cols>
    <col min="1" max="1" width="27.5546875" customWidth="1"/>
    <col min="2" max="2" width="38" customWidth="1"/>
    <col min="3" max="3" width="11.33203125" customWidth="1"/>
    <col min="7" max="7" width="19.33203125" customWidth="1"/>
    <col min="10" max="10" width="10.44140625" customWidth="1"/>
    <col min="11" max="11" width="10.6640625" bestFit="1" customWidth="1"/>
  </cols>
  <sheetData>
    <row r="1" spans="1:12" ht="43.2" x14ac:dyDescent="0.3">
      <c r="A1" s="63" t="s">
        <v>197</v>
      </c>
      <c r="B1" s="65" t="s">
        <v>180</v>
      </c>
      <c r="C1" s="4" t="s">
        <v>74</v>
      </c>
      <c r="D1" s="11">
        <v>18.989999999999998</v>
      </c>
      <c r="E1" s="11">
        <v>150</v>
      </c>
      <c r="F1" s="11">
        <f>SUM(D1*E1)</f>
        <v>2848.4999999999995</v>
      </c>
      <c r="K1" s="11" t="s">
        <v>192</v>
      </c>
    </row>
    <row r="2" spans="1:12" ht="55.5" customHeight="1" x14ac:dyDescent="0.3">
      <c r="A2" s="63" t="s">
        <v>197</v>
      </c>
      <c r="B2" s="66" t="s">
        <v>181</v>
      </c>
      <c r="C2" s="4" t="s">
        <v>74</v>
      </c>
      <c r="D2" s="11">
        <v>23.9</v>
      </c>
      <c r="E2" s="11">
        <v>150</v>
      </c>
      <c r="F2" s="11">
        <f>SUM(D2*E2)</f>
        <v>3585</v>
      </c>
      <c r="J2" s="63" t="s">
        <v>200</v>
      </c>
      <c r="K2" s="63">
        <f>G6</f>
        <v>2991.9749999999999</v>
      </c>
      <c r="L2" s="67"/>
    </row>
    <row r="3" spans="1:12" ht="32.25" customHeight="1" x14ac:dyDescent="0.3">
      <c r="A3" s="63" t="s">
        <v>197</v>
      </c>
      <c r="B3" s="64" t="s">
        <v>182</v>
      </c>
      <c r="C3" s="4" t="s">
        <v>74</v>
      </c>
      <c r="D3" s="11">
        <v>14.1</v>
      </c>
      <c r="E3" s="11">
        <v>150</v>
      </c>
      <c r="F3" s="11">
        <f>SUM(D3*E3)</f>
        <v>2115</v>
      </c>
      <c r="J3" s="63" t="s">
        <v>201</v>
      </c>
      <c r="K3" s="63">
        <f>F11</f>
        <v>730.38</v>
      </c>
    </row>
    <row r="4" spans="1:12" ht="42.75" customHeight="1" x14ac:dyDescent="0.3">
      <c r="F4" s="73">
        <f>SUM(F1:F3)/3</f>
        <v>2849.5</v>
      </c>
      <c r="G4" s="235" t="s">
        <v>184</v>
      </c>
      <c r="J4" s="63" t="s">
        <v>193</v>
      </c>
      <c r="K4" s="63">
        <f>F19</f>
        <v>1672.1030000000001</v>
      </c>
    </row>
    <row r="5" spans="1:12" ht="28.8" x14ac:dyDescent="0.3">
      <c r="F5" s="10">
        <f>SUM(F4*5%)</f>
        <v>142.47499999999999</v>
      </c>
      <c r="G5" s="236"/>
      <c r="J5" s="63" t="s">
        <v>202</v>
      </c>
      <c r="K5" s="89">
        <f>G27</f>
        <v>2036.8</v>
      </c>
    </row>
    <row r="6" spans="1:12" x14ac:dyDescent="0.3">
      <c r="G6" s="77">
        <f>SUM(F4:F5)</f>
        <v>2991.9749999999999</v>
      </c>
      <c r="J6" s="63" t="s">
        <v>192</v>
      </c>
      <c r="K6" s="83">
        <f>SUM(K2:K5)</f>
        <v>7431.2580000000007</v>
      </c>
    </row>
    <row r="7" spans="1:12" ht="28.5" customHeight="1" x14ac:dyDescent="0.3"/>
    <row r="8" spans="1:12" ht="49.5" customHeight="1" x14ac:dyDescent="0.3">
      <c r="A8" s="63" t="s">
        <v>199</v>
      </c>
      <c r="B8" s="64" t="s">
        <v>212</v>
      </c>
      <c r="C8" s="4" t="s">
        <v>74</v>
      </c>
      <c r="D8" s="11">
        <v>21</v>
      </c>
      <c r="E8" s="11">
        <v>18</v>
      </c>
      <c r="F8" s="11">
        <f>SUM(D8*E8)</f>
        <v>378</v>
      </c>
    </row>
    <row r="9" spans="1:12" ht="55.5" customHeight="1" x14ac:dyDescent="0.3">
      <c r="A9" s="63" t="s">
        <v>199</v>
      </c>
      <c r="B9" s="64" t="s">
        <v>209</v>
      </c>
      <c r="C9" s="4" t="s">
        <v>74</v>
      </c>
      <c r="D9" s="11">
        <v>63</v>
      </c>
      <c r="E9" s="11">
        <v>12.99</v>
      </c>
      <c r="F9" s="11">
        <f>SUM(D9*E9)</f>
        <v>818.37</v>
      </c>
      <c r="H9" s="27"/>
      <c r="I9" s="27"/>
    </row>
    <row r="10" spans="1:12" ht="54" customHeight="1" x14ac:dyDescent="0.3">
      <c r="A10" s="63" t="s">
        <v>199</v>
      </c>
      <c r="B10" s="64" t="s">
        <v>210</v>
      </c>
      <c r="C10" s="4" t="s">
        <v>74</v>
      </c>
      <c r="D10" s="11">
        <v>63</v>
      </c>
      <c r="E10" s="11">
        <v>15.79</v>
      </c>
      <c r="F10" s="11">
        <f>SUM(D10*E10)</f>
        <v>994.77</v>
      </c>
    </row>
    <row r="11" spans="1:12" x14ac:dyDescent="0.3">
      <c r="F11" s="70">
        <f>SUM(F8:F10)/3</f>
        <v>730.38</v>
      </c>
    </row>
    <row r="14" spans="1:12" ht="43.2" x14ac:dyDescent="0.3">
      <c r="A14" s="11">
        <v>88273</v>
      </c>
      <c r="B14" s="63" t="s">
        <v>211</v>
      </c>
      <c r="C14" s="11" t="s">
        <v>183</v>
      </c>
      <c r="D14" s="11">
        <v>14</v>
      </c>
      <c r="E14" s="11">
        <v>28.82</v>
      </c>
      <c r="F14" s="11">
        <f>SUM(D14*E14)</f>
        <v>403.48</v>
      </c>
    </row>
    <row r="15" spans="1:12" ht="43.2" x14ac:dyDescent="0.3">
      <c r="A15" s="11">
        <v>102213</v>
      </c>
      <c r="B15" s="63" t="s">
        <v>187</v>
      </c>
      <c r="C15" s="11" t="s">
        <v>186</v>
      </c>
      <c r="D15" s="11">
        <v>26.12</v>
      </c>
      <c r="E15" s="11">
        <v>17.46</v>
      </c>
      <c r="F15" s="11">
        <f>SUM(D15*E15)</f>
        <v>456.05520000000001</v>
      </c>
      <c r="I15">
        <f>SUM(0.03*1.41*50)*2</f>
        <v>4.2299999999999995</v>
      </c>
      <c r="J15">
        <f>SUM(0.03*1.54*50)</f>
        <v>2.31</v>
      </c>
      <c r="K15">
        <f>SUM(J15+I15)*4</f>
        <v>26.159999999999997</v>
      </c>
    </row>
    <row r="16" spans="1:12" ht="28.8" x14ac:dyDescent="0.3">
      <c r="A16" s="11">
        <v>88273</v>
      </c>
      <c r="B16" s="63" t="s">
        <v>185</v>
      </c>
      <c r="C16" s="11" t="s">
        <v>183</v>
      </c>
      <c r="D16" s="11">
        <v>12</v>
      </c>
      <c r="E16" s="11">
        <v>28.82</v>
      </c>
      <c r="F16" s="68">
        <f>SUM(E16*D16)</f>
        <v>345.84000000000003</v>
      </c>
      <c r="G16" s="69"/>
    </row>
    <row r="17" spans="1:10" ht="28.8" x14ac:dyDescent="0.3">
      <c r="A17" s="11">
        <v>88274</v>
      </c>
      <c r="B17" s="63" t="s">
        <v>204</v>
      </c>
      <c r="C17" s="11" t="s">
        <v>183</v>
      </c>
      <c r="D17" s="11">
        <v>16</v>
      </c>
      <c r="E17" s="11">
        <v>28.82</v>
      </c>
      <c r="F17" s="68">
        <f>SUM(E17*D17)</f>
        <v>461.12</v>
      </c>
    </row>
    <row r="18" spans="1:10" ht="43.2" x14ac:dyDescent="0.3">
      <c r="A18" s="11">
        <v>102213</v>
      </c>
      <c r="B18" s="63" t="s">
        <v>187</v>
      </c>
      <c r="C18" s="11" t="s">
        <v>186</v>
      </c>
      <c r="D18" s="11">
        <v>23.43</v>
      </c>
      <c r="E18" s="11">
        <v>17.46</v>
      </c>
      <c r="F18" s="76">
        <f>SUM(D18*E18)</f>
        <v>409.08780000000002</v>
      </c>
      <c r="H18" s="10">
        <f>SUM((3*0.07*35)*2)+((3*0.02*35)*2)</f>
        <v>18.900000000000002</v>
      </c>
      <c r="I18" s="10">
        <f>SUM(2*H18)</f>
        <v>37.800000000000004</v>
      </c>
      <c r="J18" s="10" t="s">
        <v>194</v>
      </c>
    </row>
    <row r="19" spans="1:10" x14ac:dyDescent="0.3">
      <c r="F19" s="11">
        <f>SUM(F15:F18)</f>
        <v>1672.1030000000001</v>
      </c>
    </row>
    <row r="21" spans="1:10" x14ac:dyDescent="0.3">
      <c r="G21" s="237" t="s">
        <v>203</v>
      </c>
    </row>
    <row r="22" spans="1:10" ht="15" customHeight="1" x14ac:dyDescent="0.3">
      <c r="G22" s="237"/>
    </row>
    <row r="23" spans="1:10" x14ac:dyDescent="0.3">
      <c r="G23" s="237"/>
    </row>
    <row r="24" spans="1:10" ht="28.8" x14ac:dyDescent="0.3">
      <c r="A24" s="11" t="s">
        <v>198</v>
      </c>
      <c r="B24" s="64" t="s">
        <v>188</v>
      </c>
      <c r="C24" s="4" t="s">
        <v>74</v>
      </c>
      <c r="D24" s="11">
        <v>114</v>
      </c>
      <c r="E24" s="11">
        <v>14</v>
      </c>
      <c r="F24" s="11">
        <f>SUM(D24*E24)</f>
        <v>1596</v>
      </c>
      <c r="G24" s="11">
        <f>SUM(E24*D24)</f>
        <v>1596</v>
      </c>
    </row>
    <row r="25" spans="1:10" ht="43.2" x14ac:dyDescent="0.3">
      <c r="A25" s="11" t="s">
        <v>198</v>
      </c>
      <c r="B25" s="63" t="s">
        <v>189</v>
      </c>
      <c r="C25" s="4" t="s">
        <v>190</v>
      </c>
      <c r="D25" s="11">
        <v>114</v>
      </c>
      <c r="E25" s="11">
        <v>23.53</v>
      </c>
      <c r="F25" s="11">
        <f t="shared" ref="F25:F26" si="0">SUM(D25*E25)</f>
        <v>2682.42</v>
      </c>
      <c r="G25" s="11">
        <f t="shared" ref="G25:G26" si="1">SUM(E25*D25)</f>
        <v>2682.42</v>
      </c>
    </row>
    <row r="26" spans="1:10" ht="86.4" x14ac:dyDescent="0.3">
      <c r="A26" s="11" t="s">
        <v>198</v>
      </c>
      <c r="B26" s="64" t="s">
        <v>191</v>
      </c>
      <c r="C26" s="4" t="s">
        <v>74</v>
      </c>
      <c r="D26" s="11">
        <v>114</v>
      </c>
      <c r="E26" s="11">
        <v>16.07</v>
      </c>
      <c r="F26" s="11">
        <f t="shared" si="0"/>
        <v>1831.98</v>
      </c>
      <c r="G26" s="11">
        <f t="shared" si="1"/>
        <v>1831.98</v>
      </c>
    </row>
    <row r="27" spans="1:10" x14ac:dyDescent="0.3">
      <c r="F27" s="75">
        <f>SUM(F24:F26)/3</f>
        <v>2036.8</v>
      </c>
      <c r="G27" s="75">
        <f>SUM(G24:G26)/3</f>
        <v>2036.8</v>
      </c>
    </row>
    <row r="30" spans="1:10" x14ac:dyDescent="0.3">
      <c r="A30" s="71"/>
      <c r="B30" s="72"/>
      <c r="C30" s="71"/>
      <c r="D30" s="71"/>
      <c r="E30" s="71"/>
      <c r="F30" s="74"/>
    </row>
    <row r="32" spans="1:10" ht="31.5" customHeight="1" x14ac:dyDescent="0.3"/>
    <row r="33" ht="42" customHeight="1" x14ac:dyDescent="0.3"/>
    <row r="34" ht="46.5" customHeight="1" x14ac:dyDescent="0.3"/>
    <row r="35" ht="105" customHeight="1" x14ac:dyDescent="0.3"/>
    <row r="36" ht="27.75" customHeight="1" x14ac:dyDescent="0.3"/>
  </sheetData>
  <mergeCells count="2">
    <mergeCell ref="G4:G5"/>
    <mergeCell ref="G21:G23"/>
  </mergeCells>
  <hyperlinks>
    <hyperlink ref="B2" r:id="rId1"/>
    <hyperlink ref="B3" r:id="rId2"/>
    <hyperlink ref="B8" r:id="rId3"/>
    <hyperlink ref="B26" r:id="rId4" location="position=1&amp;search_layout=stack&amp;type=item&amp;tracking_id=e3fe0550-926e-410c-910a-16ffc975dca9"/>
    <hyperlink ref="B24" r:id="rId5"/>
    <hyperlink ref="B9" r:id="rId6"/>
    <hyperlink ref="B10" r:id="rId7"/>
  </hyperlinks>
  <pageMargins left="0.511811024" right="0.511811024" top="0.78740157499999996" bottom="0.78740157499999996" header="0.31496062000000002" footer="0.31496062000000002"/>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7" sqref="F7"/>
    </sheetView>
  </sheetViews>
  <sheetFormatPr defaultRowHeight="14.4" x14ac:dyDescent="0.3"/>
  <cols>
    <col min="3" max="3" width="33.5546875" style="24" customWidth="1"/>
  </cols>
  <sheetData>
    <row r="1" spans="1:8" ht="63.75" customHeight="1" x14ac:dyDescent="0.3">
      <c r="A1" s="43" t="s">
        <v>16</v>
      </c>
      <c r="B1" s="4">
        <v>99808</v>
      </c>
      <c r="C1" s="42" t="s">
        <v>173</v>
      </c>
      <c r="D1" s="4" t="s">
        <v>117</v>
      </c>
      <c r="E1" s="4">
        <v>2.92</v>
      </c>
      <c r="F1" s="11">
        <v>56.08</v>
      </c>
      <c r="G1" s="11">
        <f>SUM(F1*E1)</f>
        <v>163.75359999999998</v>
      </c>
      <c r="H1" s="10"/>
    </row>
    <row r="2" spans="1:8" ht="60.75" customHeight="1" x14ac:dyDescent="0.3">
      <c r="A2" s="43" t="s">
        <v>16</v>
      </c>
      <c r="B2" s="4">
        <v>99805</v>
      </c>
      <c r="C2" s="42" t="s">
        <v>174</v>
      </c>
      <c r="D2" s="4" t="s">
        <v>117</v>
      </c>
      <c r="E2" s="4">
        <v>8.91</v>
      </c>
      <c r="F2" s="11">
        <v>22.63</v>
      </c>
      <c r="G2" s="11">
        <f t="shared" ref="G2:G3" si="0">SUM(F2*E2)</f>
        <v>201.63329999999999</v>
      </c>
      <c r="H2" s="10"/>
    </row>
    <row r="3" spans="1:8" ht="55.5" customHeight="1" thickBot="1" x14ac:dyDescent="0.35">
      <c r="A3" s="43" t="s">
        <v>16</v>
      </c>
      <c r="B3" s="4">
        <v>99814</v>
      </c>
      <c r="C3" s="42" t="s">
        <v>175</v>
      </c>
      <c r="D3" s="4" t="s">
        <v>117</v>
      </c>
      <c r="E3" s="4">
        <v>1.57</v>
      </c>
      <c r="F3" s="45">
        <v>223.54</v>
      </c>
      <c r="G3" s="45">
        <f t="shared" si="0"/>
        <v>350.95780000000002</v>
      </c>
      <c r="H3" s="10"/>
    </row>
    <row r="4" spans="1:8" ht="36.75" customHeight="1" thickBot="1" x14ac:dyDescent="0.35">
      <c r="F4" s="46" t="s">
        <v>159</v>
      </c>
      <c r="G4" s="47">
        <f>SUM(G1:G3)</f>
        <v>716.34469999999999</v>
      </c>
      <c r="H4" s="10"/>
    </row>
    <row r="5" spans="1:8" ht="39.75" customHeight="1" x14ac:dyDescent="0.3"/>
    <row r="6" spans="1:8" ht="30" customHeight="1" x14ac:dyDescent="0.3"/>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B6" sqref="B6"/>
    </sheetView>
  </sheetViews>
  <sheetFormatPr defaultRowHeight="14.4" x14ac:dyDescent="0.3"/>
  <cols>
    <col min="1" max="1" width="19.5546875" style="7" customWidth="1"/>
    <col min="2" max="2" width="30.33203125" style="7" customWidth="1"/>
    <col min="3" max="3" width="9.109375" customWidth="1"/>
  </cols>
  <sheetData>
    <row r="1" spans="1:14" ht="69" x14ac:dyDescent="0.3">
      <c r="A1" s="5">
        <v>91927</v>
      </c>
      <c r="B1" s="5" t="s">
        <v>143</v>
      </c>
      <c r="C1" s="5" t="s">
        <v>73</v>
      </c>
      <c r="D1" s="5">
        <f>K1</f>
        <v>48.67</v>
      </c>
      <c r="E1" s="5">
        <v>5.26</v>
      </c>
      <c r="F1" s="4">
        <f>SUM(D1*E1)</f>
        <v>256.00420000000003</v>
      </c>
      <c r="K1">
        <f>SUM(1.1+0.68+0.77+3.36+0.72+0.4+2.55+1.01+1.43+1.24+1.05+0.76)+(8.4)*(4)</f>
        <v>48.67</v>
      </c>
      <c r="M1" t="s">
        <v>142</v>
      </c>
      <c r="N1" t="s">
        <v>146</v>
      </c>
    </row>
    <row r="2" spans="1:14" ht="69" x14ac:dyDescent="0.3">
      <c r="A2" s="5">
        <v>91833</v>
      </c>
      <c r="B2" s="5" t="s">
        <v>144</v>
      </c>
      <c r="C2" s="5" t="s">
        <v>73</v>
      </c>
      <c r="D2" s="5">
        <v>25</v>
      </c>
      <c r="E2" s="5">
        <v>7.28</v>
      </c>
      <c r="F2" s="4">
        <f t="shared" ref="F2:F3" si="0">SUM(D2*E2)</f>
        <v>182</v>
      </c>
      <c r="K2">
        <f>SUM(1.1+0.68+0.77+3.36+0.72+0.4+2.55+1.01+1.43+1.24+1.05+0.76)+(8.4)</f>
        <v>23.47</v>
      </c>
    </row>
    <row r="3" spans="1:14" ht="41.4" x14ac:dyDescent="0.3">
      <c r="A3" s="4" t="s">
        <v>150</v>
      </c>
      <c r="B3" s="5" t="s">
        <v>145</v>
      </c>
      <c r="C3" s="4" t="s">
        <v>74</v>
      </c>
      <c r="D3" s="4">
        <v>1</v>
      </c>
      <c r="E3" s="4">
        <v>5.99</v>
      </c>
      <c r="F3" s="4">
        <f t="shared" si="0"/>
        <v>5.99</v>
      </c>
    </row>
    <row r="4" spans="1:14" x14ac:dyDescent="0.3">
      <c r="A4" s="41"/>
      <c r="B4" s="38"/>
      <c r="C4" s="37"/>
      <c r="D4" s="37"/>
      <c r="E4" s="37"/>
      <c r="F4" s="4">
        <f>SUM(F1:F3)</f>
        <v>443.99420000000003</v>
      </c>
    </row>
    <row r="6" spans="1:14" ht="27.75" customHeight="1" x14ac:dyDescent="0.3"/>
    <row r="7" spans="1:14" ht="96.75" customHeight="1" x14ac:dyDescent="0.3"/>
    <row r="10" spans="1:14" ht="26.25" customHeight="1" x14ac:dyDescent="0.3"/>
    <row r="11" spans="1:14" ht="169.5" customHeight="1" x14ac:dyDescent="0.3">
      <c r="A11" s="40"/>
      <c r="B11" s="29"/>
      <c r="C11" s="39"/>
      <c r="D11" s="30"/>
      <c r="E11" s="30"/>
      <c r="F11" s="39"/>
    </row>
    <row r="12" spans="1:14" ht="29.25" customHeight="1" x14ac:dyDescent="0.3">
      <c r="F12" s="12"/>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13" workbookViewId="0">
      <selection activeCell="L2" sqref="L2"/>
    </sheetView>
  </sheetViews>
  <sheetFormatPr defaultRowHeight="14.4" x14ac:dyDescent="0.3"/>
  <cols>
    <col min="1" max="1" width="9.109375" customWidth="1"/>
    <col min="2" max="2" width="12.44140625" customWidth="1"/>
    <col min="3" max="3" width="38.88671875" style="7" customWidth="1"/>
    <col min="7" max="7" width="51.44140625" customWidth="1"/>
    <col min="11" max="11" width="12.6640625" customWidth="1"/>
  </cols>
  <sheetData>
    <row r="1" spans="1:12" ht="81" customHeight="1" x14ac:dyDescent="0.3">
      <c r="A1" s="2" t="s">
        <v>16</v>
      </c>
      <c r="B1" s="5">
        <v>86888</v>
      </c>
      <c r="C1" s="17" t="s">
        <v>55</v>
      </c>
      <c r="D1" s="4" t="s">
        <v>74</v>
      </c>
      <c r="E1" s="4">
        <v>3</v>
      </c>
      <c r="F1" s="4">
        <v>408.37</v>
      </c>
      <c r="G1" s="4">
        <f>SUM(E1*F1)</f>
        <v>1225.1100000000001</v>
      </c>
      <c r="K1" s="18" t="s">
        <v>135</v>
      </c>
    </row>
    <row r="2" spans="1:12" ht="53.25" customHeight="1" x14ac:dyDescent="0.3">
      <c r="A2" s="17" t="s">
        <v>16</v>
      </c>
      <c r="B2" s="19" t="s">
        <v>148</v>
      </c>
      <c r="C2" s="5" t="s">
        <v>147</v>
      </c>
      <c r="D2" s="19" t="s">
        <v>74</v>
      </c>
      <c r="E2" s="19">
        <v>3</v>
      </c>
      <c r="F2" s="19">
        <v>2.0299999999999998</v>
      </c>
      <c r="G2" s="4">
        <f t="shared" ref="G2:G12" si="0">SUM(E2*F2)</f>
        <v>6.09</v>
      </c>
      <c r="K2" s="10"/>
      <c r="L2" s="24" t="s">
        <v>127</v>
      </c>
    </row>
    <row r="3" spans="1:12" ht="65.25" customHeight="1" x14ac:dyDescent="0.3">
      <c r="A3" s="2" t="s">
        <v>16</v>
      </c>
      <c r="B3" s="4">
        <v>86885</v>
      </c>
      <c r="C3" s="2" t="s">
        <v>25</v>
      </c>
      <c r="D3" s="4" t="s">
        <v>74</v>
      </c>
      <c r="E3" s="4">
        <v>3</v>
      </c>
      <c r="F3" s="4">
        <v>9.0299999999999994</v>
      </c>
      <c r="G3" s="4">
        <f t="shared" si="0"/>
        <v>27.089999999999996</v>
      </c>
    </row>
    <row r="4" spans="1:12" ht="41.4" x14ac:dyDescent="0.3">
      <c r="A4" s="2" t="s">
        <v>16</v>
      </c>
      <c r="B4" s="5">
        <v>86881</v>
      </c>
      <c r="C4" s="2" t="s">
        <v>56</v>
      </c>
      <c r="D4" s="4" t="s">
        <v>74</v>
      </c>
      <c r="E4" s="4">
        <v>1</v>
      </c>
      <c r="F4" s="4">
        <v>159.72</v>
      </c>
      <c r="G4" s="4">
        <f t="shared" si="0"/>
        <v>159.72</v>
      </c>
    </row>
    <row r="5" spans="1:12" ht="27.6" x14ac:dyDescent="0.3">
      <c r="A5" s="2" t="s">
        <v>16</v>
      </c>
      <c r="B5" s="5">
        <v>86883</v>
      </c>
      <c r="C5" s="2" t="s">
        <v>57</v>
      </c>
      <c r="D5" s="4" t="s">
        <v>74</v>
      </c>
      <c r="E5" s="4">
        <v>2</v>
      </c>
      <c r="F5" s="4">
        <v>8.94</v>
      </c>
      <c r="G5" s="4">
        <f t="shared" si="0"/>
        <v>17.88</v>
      </c>
    </row>
    <row r="6" spans="1:12" ht="55.2" x14ac:dyDescent="0.3">
      <c r="A6" s="2" t="s">
        <v>16</v>
      </c>
      <c r="B6" s="25">
        <v>89714</v>
      </c>
      <c r="C6" s="5" t="s">
        <v>128</v>
      </c>
      <c r="D6" s="13" t="s">
        <v>125</v>
      </c>
      <c r="E6" s="13">
        <v>14</v>
      </c>
      <c r="F6" s="13">
        <v>51.87</v>
      </c>
      <c r="G6" s="4">
        <f t="shared" si="0"/>
        <v>726.18</v>
      </c>
    </row>
    <row r="7" spans="1:12" ht="69" x14ac:dyDescent="0.3">
      <c r="A7" s="2" t="s">
        <v>16</v>
      </c>
      <c r="B7" s="4">
        <v>89744</v>
      </c>
      <c r="C7" s="5" t="s">
        <v>129</v>
      </c>
      <c r="D7" s="13" t="s">
        <v>74</v>
      </c>
      <c r="E7" s="13">
        <v>5</v>
      </c>
      <c r="F7" s="13">
        <v>22</v>
      </c>
      <c r="G7" s="4">
        <f t="shared" si="0"/>
        <v>110</v>
      </c>
    </row>
    <row r="8" spans="1:12" ht="69" x14ac:dyDescent="0.3">
      <c r="A8" s="2" t="s">
        <v>16</v>
      </c>
      <c r="B8" s="4">
        <v>89778</v>
      </c>
      <c r="C8" s="5" t="s">
        <v>126</v>
      </c>
      <c r="D8" s="13" t="s">
        <v>74</v>
      </c>
      <c r="E8" s="4">
        <v>4</v>
      </c>
      <c r="F8" s="4">
        <v>16.88</v>
      </c>
      <c r="G8" s="4">
        <f t="shared" si="0"/>
        <v>67.52</v>
      </c>
    </row>
    <row r="9" spans="1:12" ht="69" x14ac:dyDescent="0.3">
      <c r="A9" s="2" t="s">
        <v>16</v>
      </c>
      <c r="B9" s="4">
        <v>89796</v>
      </c>
      <c r="C9" s="5" t="s">
        <v>133</v>
      </c>
      <c r="D9" s="4" t="s">
        <v>130</v>
      </c>
      <c r="E9" s="4">
        <v>2</v>
      </c>
      <c r="F9" s="4">
        <v>36.299999999999997</v>
      </c>
      <c r="G9" s="4">
        <f t="shared" si="0"/>
        <v>72.599999999999994</v>
      </c>
    </row>
    <row r="10" spans="1:12" ht="55.2" x14ac:dyDescent="0.3">
      <c r="A10" s="2" t="s">
        <v>16</v>
      </c>
      <c r="B10" s="4">
        <v>89713</v>
      </c>
      <c r="C10" s="5" t="s">
        <v>132</v>
      </c>
      <c r="D10" s="13" t="s">
        <v>73</v>
      </c>
      <c r="E10" s="4">
        <v>8</v>
      </c>
      <c r="F10" s="4">
        <v>40.409999999999997</v>
      </c>
      <c r="G10" s="4">
        <f t="shared" si="0"/>
        <v>323.27999999999997</v>
      </c>
    </row>
    <row r="11" spans="1:12" ht="69" x14ac:dyDescent="0.3">
      <c r="A11" s="2" t="s">
        <v>16</v>
      </c>
      <c r="B11" s="4">
        <v>89737</v>
      </c>
      <c r="C11" s="5" t="s">
        <v>134</v>
      </c>
      <c r="D11" s="4" t="s">
        <v>130</v>
      </c>
      <c r="E11" s="4">
        <v>3</v>
      </c>
      <c r="F11" s="4">
        <v>16.88</v>
      </c>
      <c r="G11" s="4">
        <f t="shared" si="0"/>
        <v>50.64</v>
      </c>
    </row>
    <row r="12" spans="1:12" ht="55.2" x14ac:dyDescent="0.3">
      <c r="A12" s="2" t="s">
        <v>16</v>
      </c>
      <c r="B12" s="4">
        <v>89557</v>
      </c>
      <c r="C12" s="5" t="s">
        <v>131</v>
      </c>
      <c r="D12" s="4" t="s">
        <v>130</v>
      </c>
      <c r="E12" s="4">
        <v>3</v>
      </c>
      <c r="F12" s="4">
        <v>24.56</v>
      </c>
      <c r="G12" s="4">
        <f t="shared" si="0"/>
        <v>73.679999999999993</v>
      </c>
    </row>
    <row r="13" spans="1:12" ht="45.75" customHeight="1" x14ac:dyDescent="0.3">
      <c r="A13" s="2" t="s">
        <v>16</v>
      </c>
      <c r="B13" s="4" t="s">
        <v>162</v>
      </c>
      <c r="C13" s="5" t="s">
        <v>163</v>
      </c>
      <c r="D13" s="4" t="s">
        <v>74</v>
      </c>
      <c r="E13" s="4">
        <v>2</v>
      </c>
      <c r="F13" s="4">
        <v>8.3000000000000007</v>
      </c>
      <c r="G13" s="11">
        <f>SUM(E13*F13)</f>
        <v>16.600000000000001</v>
      </c>
    </row>
    <row r="14" spans="1:12" x14ac:dyDescent="0.3">
      <c r="G14" s="4">
        <f>SUM(G1:G13)</f>
        <v>2876.39</v>
      </c>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7" workbookViewId="0">
      <selection activeCell="I6" sqref="I6"/>
    </sheetView>
  </sheetViews>
  <sheetFormatPr defaultRowHeight="14.4" x14ac:dyDescent="0.3"/>
  <cols>
    <col min="1" max="1" width="17.5546875" style="12" customWidth="1"/>
    <col min="2" max="2" width="26.88671875" style="12" customWidth="1"/>
  </cols>
  <sheetData>
    <row r="1" spans="1:16" ht="23.25" customHeight="1" x14ac:dyDescent="0.3"/>
    <row r="2" spans="1:16" ht="39" customHeight="1" x14ac:dyDescent="0.3">
      <c r="A2" s="4" t="s">
        <v>162</v>
      </c>
      <c r="B2" s="5" t="s">
        <v>163</v>
      </c>
      <c r="C2" s="4" t="s">
        <v>74</v>
      </c>
      <c r="D2" s="4">
        <v>2</v>
      </c>
      <c r="E2" s="4">
        <v>8.3000000000000007</v>
      </c>
      <c r="F2" s="11">
        <f>SUM(D2*E2)</f>
        <v>16.600000000000001</v>
      </c>
    </row>
    <row r="3" spans="1:16" ht="69" x14ac:dyDescent="0.3">
      <c r="A3" s="4">
        <v>89497</v>
      </c>
      <c r="B3" s="5" t="s">
        <v>136</v>
      </c>
      <c r="C3" s="4" t="s">
        <v>74</v>
      </c>
      <c r="D3" s="4">
        <v>16</v>
      </c>
      <c r="E3" s="4">
        <v>10.7</v>
      </c>
      <c r="F3" s="11">
        <f>SUM(D3*E3)</f>
        <v>171.2</v>
      </c>
      <c r="L3" s="10"/>
    </row>
    <row r="4" spans="1:16" ht="69" x14ac:dyDescent="0.3">
      <c r="A4" s="5">
        <v>89448</v>
      </c>
      <c r="B4" s="5" t="s">
        <v>137</v>
      </c>
      <c r="C4" s="5" t="s">
        <v>73</v>
      </c>
      <c r="D4" s="5">
        <v>52</v>
      </c>
      <c r="E4" s="5">
        <v>13.79</v>
      </c>
      <c r="F4" s="5">
        <f t="shared" ref="F4:F7" si="0">SUM(D4*E4)</f>
        <v>717.07999999999993</v>
      </c>
      <c r="L4" s="10"/>
    </row>
    <row r="5" spans="1:16" ht="69" x14ac:dyDescent="0.3">
      <c r="A5" s="5">
        <v>89558</v>
      </c>
      <c r="B5" s="5" t="s">
        <v>138</v>
      </c>
      <c r="C5" s="5" t="s">
        <v>74</v>
      </c>
      <c r="D5" s="5">
        <v>5</v>
      </c>
      <c r="E5" s="5">
        <v>8.18</v>
      </c>
      <c r="F5" s="5">
        <f t="shared" si="0"/>
        <v>40.9</v>
      </c>
      <c r="L5" s="10"/>
    </row>
    <row r="6" spans="1:16" ht="55.2" x14ac:dyDescent="0.3">
      <c r="A6" s="5">
        <v>89623</v>
      </c>
      <c r="B6" s="5" t="s">
        <v>139</v>
      </c>
      <c r="C6" s="5" t="s">
        <v>74</v>
      </c>
      <c r="D6" s="25">
        <v>5</v>
      </c>
      <c r="E6" s="25">
        <v>16.71</v>
      </c>
      <c r="F6" s="5">
        <f t="shared" si="0"/>
        <v>83.550000000000011</v>
      </c>
      <c r="L6" s="10"/>
    </row>
    <row r="7" spans="1:16" ht="69" x14ac:dyDescent="0.3">
      <c r="A7" s="25">
        <v>89500</v>
      </c>
      <c r="B7" s="5" t="s">
        <v>140</v>
      </c>
      <c r="C7" s="5" t="s">
        <v>74</v>
      </c>
      <c r="D7" s="25">
        <v>1</v>
      </c>
      <c r="E7" s="5">
        <v>11.68</v>
      </c>
      <c r="F7" s="5">
        <f t="shared" si="0"/>
        <v>11.68</v>
      </c>
      <c r="L7" s="10"/>
    </row>
    <row r="8" spans="1:16" x14ac:dyDescent="0.3">
      <c r="A8" s="5"/>
      <c r="B8" s="5"/>
      <c r="C8" s="5"/>
      <c r="D8" s="5"/>
      <c r="E8" s="5"/>
      <c r="F8" s="5">
        <f>SUM(F3:F7)</f>
        <v>1024.4100000000001</v>
      </c>
      <c r="G8" s="10"/>
      <c r="J8">
        <v>1</v>
      </c>
      <c r="K8">
        <v>1.85</v>
      </c>
      <c r="L8" s="10">
        <v>0.2</v>
      </c>
      <c r="M8">
        <v>0.5</v>
      </c>
      <c r="N8" s="10"/>
      <c r="O8">
        <v>2.1</v>
      </c>
      <c r="P8" t="s">
        <v>141</v>
      </c>
    </row>
    <row r="9" spans="1:16" x14ac:dyDescent="0.3">
      <c r="E9" s="10"/>
      <c r="J9">
        <v>0.15</v>
      </c>
      <c r="K9">
        <v>0.15</v>
      </c>
      <c r="L9" s="10">
        <v>0.1</v>
      </c>
      <c r="M9">
        <v>0.3</v>
      </c>
      <c r="O9">
        <v>6</v>
      </c>
    </row>
    <row r="10" spans="1:16" x14ac:dyDescent="0.3">
      <c r="E10" s="10"/>
      <c r="J10">
        <v>0.1</v>
      </c>
      <c r="K10">
        <v>2.34</v>
      </c>
      <c r="L10" s="10">
        <v>1</v>
      </c>
      <c r="M10">
        <v>2.2000000000000002</v>
      </c>
      <c r="O10">
        <f>SUM(O9*O8)</f>
        <v>12.600000000000001</v>
      </c>
    </row>
    <row r="11" spans="1:16" x14ac:dyDescent="0.3">
      <c r="E11" s="10"/>
      <c r="K11">
        <v>0.1</v>
      </c>
      <c r="L11" s="10"/>
      <c r="M11">
        <v>0.8</v>
      </c>
    </row>
    <row r="12" spans="1:16" x14ac:dyDescent="0.3">
      <c r="E12" s="10"/>
      <c r="K12">
        <v>0.4</v>
      </c>
      <c r="L12" s="10"/>
      <c r="M12">
        <v>1</v>
      </c>
    </row>
    <row r="13" spans="1:16" x14ac:dyDescent="0.3">
      <c r="E13" s="10"/>
      <c r="L13" s="10"/>
      <c r="M13">
        <v>3.55</v>
      </c>
    </row>
    <row r="14" spans="1:16" x14ac:dyDescent="0.3">
      <c r="E14" s="10"/>
      <c r="J14">
        <f t="shared" ref="J14:L14" si="1">SUM(J8:J13)</f>
        <v>1.25</v>
      </c>
      <c r="K14">
        <f t="shared" si="1"/>
        <v>4.84</v>
      </c>
      <c r="L14">
        <f t="shared" si="1"/>
        <v>1.3</v>
      </c>
      <c r="M14">
        <f>SUM(M8:M13)</f>
        <v>8.35</v>
      </c>
    </row>
    <row r="15" spans="1:16" x14ac:dyDescent="0.3">
      <c r="E15" s="10"/>
      <c r="L15" s="10"/>
    </row>
    <row r="16" spans="1:16" x14ac:dyDescent="0.3">
      <c r="E16" s="10"/>
      <c r="L16" s="10">
        <f>SUM(J14:M14:O10)</f>
        <v>39.830000000000005</v>
      </c>
      <c r="M16">
        <f>SUM(L16*0.15)</f>
        <v>5.9745000000000008</v>
      </c>
    </row>
    <row r="17" spans="5:14" x14ac:dyDescent="0.3">
      <c r="E17" s="10"/>
      <c r="L17" s="10">
        <f>SUM(L16:M16)</f>
        <v>45.804500000000004</v>
      </c>
    </row>
    <row r="18" spans="5:14" x14ac:dyDescent="0.3">
      <c r="E18" s="10"/>
      <c r="L18" s="10">
        <v>46</v>
      </c>
    </row>
    <row r="19" spans="5:14" x14ac:dyDescent="0.3">
      <c r="G19" s="26"/>
      <c r="N19" s="26"/>
    </row>
  </sheetData>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7" sqref="C7"/>
    </sheetView>
  </sheetViews>
  <sheetFormatPr defaultRowHeight="14.4" x14ac:dyDescent="0.3"/>
  <cols>
    <col min="2" max="2" width="20.5546875" customWidth="1"/>
    <col min="3" max="4" width="9.109375" customWidth="1"/>
  </cols>
  <sheetData>
    <row r="1" spans="2:3" ht="27.75" customHeight="1" x14ac:dyDescent="0.3">
      <c r="B1" s="10" t="s">
        <v>154</v>
      </c>
      <c r="C1" s="36">
        <f>SUM(0.049*4)+(0.1*4)</f>
        <v>0.59600000000000009</v>
      </c>
    </row>
    <row r="2" spans="2:3" ht="20.25" customHeight="1" x14ac:dyDescent="0.3">
      <c r="B2" s="10" t="s">
        <v>155</v>
      </c>
      <c r="C2" s="36">
        <f>SUM((0.15*0.15*0.4)*2 )+ ((0.15*0.15*0.8)*2)</f>
        <v>5.3999999999999992E-2</v>
      </c>
    </row>
    <row r="3" spans="2:3" ht="21.75" customHeight="1" x14ac:dyDescent="0.3">
      <c r="B3" s="10" t="s">
        <v>160</v>
      </c>
      <c r="C3" s="36">
        <f>(19.7*0.15*0.3)+(9.88*0.15*0.3)</f>
        <v>1.3310999999999997</v>
      </c>
    </row>
    <row r="4" spans="2:3" ht="21.75" customHeight="1" x14ac:dyDescent="0.3">
      <c r="B4" s="10" t="s">
        <v>156</v>
      </c>
      <c r="C4" s="36">
        <f>SUM(0.12*0.18*2.8)*6</f>
        <v>0.36287999999999998</v>
      </c>
    </row>
    <row r="5" spans="2:3" ht="22.5" customHeight="1" x14ac:dyDescent="0.3">
      <c r="B5" s="10" t="s">
        <v>157</v>
      </c>
      <c r="C5" s="36">
        <f>SUM(0.2*0.12*17)</f>
        <v>0.40800000000000003</v>
      </c>
    </row>
    <row r="6" spans="2:3" x14ac:dyDescent="0.3">
      <c r="B6" s="10" t="s">
        <v>158</v>
      </c>
      <c r="C6" s="36">
        <f>SUM(2.3*6.2*0.1)</f>
        <v>1.4260000000000002</v>
      </c>
    </row>
    <row r="7" spans="2:3" x14ac:dyDescent="0.3">
      <c r="B7" s="10" t="s">
        <v>159</v>
      </c>
      <c r="C7">
        <f>SUM(C1:C6)</f>
        <v>4.1779799999999998</v>
      </c>
    </row>
    <row r="8" spans="2:3" x14ac:dyDescent="0.3">
      <c r="B8" s="10"/>
    </row>
    <row r="9" spans="2:3" x14ac:dyDescent="0.3">
      <c r="B9" s="10"/>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3</vt:i4>
      </vt:variant>
    </vt:vector>
  </HeadingPairs>
  <TitlesOfParts>
    <vt:vector size="13" baseType="lpstr">
      <vt:lpstr>BDI (1)</vt:lpstr>
      <vt:lpstr>Orçamento </vt:lpstr>
      <vt:lpstr>Cronograma</vt:lpstr>
      <vt:lpstr>Orç. Madeiras </vt:lpstr>
      <vt:lpstr>Limpeza Final</vt:lpstr>
      <vt:lpstr>Elétrico</vt:lpstr>
      <vt:lpstr>Esgoto</vt:lpstr>
      <vt:lpstr>Água Fria</vt:lpstr>
      <vt:lpstr>Estrutura em Concreto</vt:lpstr>
      <vt:lpstr>Portal de entrada</vt:lpstr>
      <vt:lpstr>'BDI (1)'!Area_de_impressao</vt:lpstr>
      <vt:lpstr>Cronograma!Area_de_impressao</vt:lpstr>
      <vt:lpstr>'Orçamento '!Area_de_impressao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Coser</dc:creator>
  <cp:lastModifiedBy>Lais</cp:lastModifiedBy>
  <cp:lastPrinted>2021-07-15T18:15:55Z</cp:lastPrinted>
  <dcterms:created xsi:type="dcterms:W3CDTF">2021-04-19T13:23:04Z</dcterms:created>
  <dcterms:modified xsi:type="dcterms:W3CDTF">2021-07-15T18:20:09Z</dcterms:modified>
</cp:coreProperties>
</file>