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7020" firstSheet="1" activeTab="3"/>
  </bookViews>
  <sheets>
    <sheet name="SVCOPIA" sheetId="1" state="hidden" r:id="rId1"/>
    <sheet name="BDI" sheetId="2" r:id="rId2"/>
    <sheet name="Selvino Bellini" sheetId="3" r:id="rId3"/>
    <sheet name="Cronograma" sheetId="4" r:id="rId4"/>
    <sheet name="cotação" sheetId="5" r:id="rId5"/>
    <sheet name="Composição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'BDI'!$A$1:$O$69</definedName>
    <definedName name="_xlnm.Print_Area" localSheetId="2">'Selvino Bellini'!$A$1:$K$79</definedName>
    <definedName name="_xlnm.Print_Area" localSheetId="0">'SVCOPIA'!$A$1:$K$79</definedName>
    <definedName name="iv">'BDI'!$CT$38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  <definedName name="Texto1" localSheetId="2">'Selvino Bellini'!#REF!</definedName>
    <definedName name="Texto1" localSheetId="0">'SVCOPIA'!#REF!</definedName>
    <definedName name="Texto10" localSheetId="2">'Selvino Bellini'!#REF!</definedName>
    <definedName name="Texto10" localSheetId="0">'SVCOPIA'!#REF!</definedName>
    <definedName name="Texto12" localSheetId="2">'Selvino Bellini'!#REF!</definedName>
    <definedName name="Texto12" localSheetId="0">'SVCOPIA'!#REF!</definedName>
    <definedName name="Texto13" localSheetId="2">'Selvino Bellini'!#REF!</definedName>
    <definedName name="Texto13" localSheetId="0">'SVCOPIA'!#REF!</definedName>
    <definedName name="Texto14" localSheetId="2">'Selvino Bellini'!#REF!</definedName>
    <definedName name="Texto14" localSheetId="0">'SVCOPIA'!#REF!</definedName>
    <definedName name="Texto15" localSheetId="2">'Selvino Bellini'!#REF!</definedName>
    <definedName name="Texto15" localSheetId="0">'SVCOPIA'!#REF!</definedName>
    <definedName name="Texto16" localSheetId="2">'Selvino Bellini'!$A$65</definedName>
    <definedName name="Texto16" localSheetId="0">'SVCOPIA'!$A$65</definedName>
    <definedName name="Texto16">#REF!</definedName>
    <definedName name="Texto2" localSheetId="2">'Selvino Bellini'!#REF!</definedName>
    <definedName name="Texto2" localSheetId="0">'SVCOPIA'!#REF!</definedName>
    <definedName name="Texto3" localSheetId="2">'Selvino Bellini'!$K$2</definedName>
    <definedName name="Texto3" localSheetId="0">'SVCOPIA'!$K$2</definedName>
    <definedName name="Texto4" localSheetId="2">'Selvino Bellini'!$A$4</definedName>
    <definedName name="Texto4" localSheetId="0">'SVCOPIA'!$A$4</definedName>
    <definedName name="Texto42" localSheetId="2">'Selvino Bellini'!#REF!</definedName>
    <definedName name="Texto42" localSheetId="0">'SVCOPIA'!#REF!</definedName>
    <definedName name="Texto43" localSheetId="2">'Selvino Bellini'!#REF!</definedName>
    <definedName name="Texto43" localSheetId="0">'SVCOPIA'!#REF!</definedName>
    <definedName name="Texto5" localSheetId="2">'Selvino Bellini'!$I$4</definedName>
    <definedName name="Texto5" localSheetId="0">'SVCOPIA'!$I$4</definedName>
    <definedName name="Texto7" localSheetId="2">'Selvino Bellini'!#REF!</definedName>
    <definedName name="Texto7" localSheetId="0">'SVCOPIA'!#REF!</definedName>
    <definedName name="Texto8" localSheetId="2">'Selvino Bellini'!#REF!</definedName>
    <definedName name="Texto8" localSheetId="0">'SVCOPIA'!#REF!</definedName>
    <definedName name="Texto9" localSheetId="2">'Selvino Bellini'!#REF!</definedName>
    <definedName name="Texto9" localSheetId="0">'SVCOPIA'!#REF!</definedName>
  </definedNames>
  <calcPr fullCalcOnLoad="1"/>
</workbook>
</file>

<file path=xl/sharedStrings.xml><?xml version="1.0" encoding="utf-8"?>
<sst xmlns="http://schemas.openxmlformats.org/spreadsheetml/2006/main" count="617" uniqueCount="296">
  <si>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</si>
  <si>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</si>
  <si>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</si>
  <si>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</si>
  <si>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</si>
  <si>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</si>
  <si>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</si>
  <si>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</si>
  <si>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</si>
  <si>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</si>
  <si>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</si>
  <si>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</si>
  <si>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UNITÁRIO</t>
  </si>
  <si>
    <t>1.0</t>
  </si>
  <si>
    <t>m</t>
  </si>
  <si>
    <t>m2</t>
  </si>
  <si>
    <t xml:space="preserve">Total do item </t>
  </si>
  <si>
    <t>2.0</t>
  </si>
  <si>
    <t>m3</t>
  </si>
  <si>
    <t>4.0</t>
  </si>
  <si>
    <t>unid.</t>
  </si>
  <si>
    <t>m²</t>
  </si>
  <si>
    <t>PLANILHA   A 2</t>
  </si>
  <si>
    <t>FOLHA No           001/001</t>
  </si>
  <si>
    <t xml:space="preserve">PROJETO:  </t>
  </si>
  <si>
    <t>Periodicidade das Estapas: MENSAL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</si>
  <si>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</si>
  <si>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</si>
  <si>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</si>
  <si>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</si>
  <si>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</si>
  <si>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</si>
  <si>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</si>
  <si>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</si>
  <si>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%</t>
  </si>
  <si>
    <t>TOTAL NO MÊS (SIMPLES)</t>
  </si>
  <si>
    <t>TOTAL NO MÊS (ACUMULADO)</t>
  </si>
  <si>
    <t>ASSINATURA:</t>
  </si>
  <si>
    <t>PAVIMENTAÇÃO SOBRE LEITO NATURAL</t>
  </si>
  <si>
    <t>Imprimação com CM30 ( taxa aplicação= 1,2L/m² )</t>
  </si>
  <si>
    <t>DRENAGEM PLUVIAL</t>
  </si>
  <si>
    <t>m³</t>
  </si>
  <si>
    <t>3.0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</si>
  <si>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</si>
  <si>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</si>
  <si>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</si>
  <si>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</si>
  <si>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</si>
  <si>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</si>
  <si>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</si>
  <si>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</si>
  <si>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</si>
  <si>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</si>
  <si>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</si>
  <si>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</si>
  <si>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</si>
  <si>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</si>
  <si>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</si>
  <si>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5.1</t>
  </si>
  <si>
    <t>5.2</t>
  </si>
  <si>
    <t xml:space="preserve">PLANILHA DE ORÇAMENTO PARA OBRAS E SERVIÇOS DE ENGENHARIA </t>
  </si>
  <si>
    <t xml:space="preserve">PLANILHA DE CRONOGRAMA FÍSICO-FINANCEIRO </t>
  </si>
  <si>
    <t>4.7</t>
  </si>
  <si>
    <t>4.8</t>
  </si>
  <si>
    <t>4.9</t>
  </si>
  <si>
    <t xml:space="preserve">NOME E Nº CREA(OU CAU) DO RESPONSÁVEL TÉCNICO:                                      </t>
  </si>
  <si>
    <t xml:space="preserve">Placa de obra em chapa galvanizada </t>
  </si>
  <si>
    <t>Regularização  e compactação do sub leito</t>
  </si>
  <si>
    <t>m3km</t>
  </si>
  <si>
    <t>pintura de ligação RR-2C (o,5L/m2)</t>
  </si>
  <si>
    <t>SINALIZAÇÃO</t>
  </si>
  <si>
    <t>ESCAVAÇÕES E TERRAPLENAGEM</t>
  </si>
  <si>
    <t>4.10</t>
  </si>
  <si>
    <t>Compactação de aterro100% P.N.</t>
  </si>
  <si>
    <t>Reaterro de vala mecanizado com retroescavadeira</t>
  </si>
  <si>
    <t>3.5</t>
  </si>
  <si>
    <t xml:space="preserve">Compactação mecânica com placa </t>
  </si>
  <si>
    <t>unid</t>
  </si>
  <si>
    <t>5.0</t>
  </si>
  <si>
    <t xml:space="preserve">SERVIÇOS INICIAIS  </t>
  </si>
  <si>
    <t xml:space="preserve">MUNICÍPIO: IPUMIRIM  - SC                                             ORÇAMENTO </t>
  </si>
  <si>
    <t>1.2</t>
  </si>
  <si>
    <t xml:space="preserve">Locação de pavimentação  </t>
  </si>
  <si>
    <t>3.6</t>
  </si>
  <si>
    <t>COMP. 01</t>
  </si>
  <si>
    <t>1.3</t>
  </si>
  <si>
    <t>1.4</t>
  </si>
  <si>
    <t>COMPOSIÇÕES</t>
  </si>
  <si>
    <t>CÓDIGO</t>
  </si>
  <si>
    <t>COEFICIE</t>
  </si>
  <si>
    <t>VALOR</t>
  </si>
  <si>
    <t>CUSTO</t>
  </si>
  <si>
    <t>SINAPI</t>
  </si>
  <si>
    <t>TOTAL (R$)</t>
  </si>
  <si>
    <t>COTAÇÕES</t>
  </si>
  <si>
    <t>Tomador:</t>
  </si>
  <si>
    <t>Município  de IPUMIRIM</t>
  </si>
  <si>
    <t>Município:</t>
  </si>
  <si>
    <t>IPUMIRIM  - SC</t>
  </si>
  <si>
    <t>Em atenção ao estabelecido pelo Acórdão 2622/2013 – TCU – Plenário reformamos a orientação e indicamos a utilização dos seguintes parâmetros para taxas de BDI:</t>
  </si>
  <si>
    <t>Tipo de obra:</t>
  </si>
  <si>
    <t>Construção de Rodovias e Ferrovias</t>
  </si>
  <si>
    <t>Obras que se enquadram no tipo escolhido:</t>
  </si>
  <si>
    <t>Selecione o CPRB</t>
  </si>
  <si>
    <t>Desonerado</t>
  </si>
  <si>
    <t>Onerado</t>
  </si>
  <si>
    <t>Escolha o tipo de obra</t>
  </si>
  <si>
    <t>Alternativa mais vantajosa para a Administração Pública:</t>
  </si>
  <si>
    <t>Construção de edifícios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</si>
  <si>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</si>
  <si>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</si>
  <si>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</si>
  <si>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</si>
  <si>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</si>
  <si>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</si>
  <si>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</si>
  <si>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</si>
  <si>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</si>
  <si>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</si>
  <si>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OBSERVAÇÕES</t>
  </si>
  <si>
    <t>Escolha o regime de contribuição</t>
  </si>
  <si>
    <t>Mín</t>
  </si>
  <si>
    <t>Máx</t>
  </si>
  <si>
    <t>Cálculo s/ os 2%</t>
  </si>
  <si>
    <t>Cálculo c/ os desonerado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</si>
  <si>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</si>
  <si>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SEM DESONERAÇÃO</t>
  </si>
  <si>
    <t>Parâmetro</t>
  </si>
  <si>
    <t>Verificação</t>
  </si>
  <si>
    <t>DESONERADO</t>
  </si>
  <si>
    <t>Falta preencher algum item do BDI:</t>
  </si>
  <si>
    <t>Administração Central</t>
  </si>
  <si>
    <t>Edifícios</t>
  </si>
  <si>
    <t>Rodovias</t>
  </si>
  <si>
    <t>Redes</t>
  </si>
  <si>
    <t>Mín:</t>
  </si>
  <si>
    <t>Máx:</t>
  </si>
  <si>
    <t>Seguros e Garantias</t>
  </si>
  <si>
    <t>Riscos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</si>
  <si>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</si>
  <si>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t>Despesas Financeiras</t>
  </si>
  <si>
    <t>Elétrica</t>
  </si>
  <si>
    <t>Portos</t>
  </si>
  <si>
    <t>Equipamentos</t>
  </si>
  <si>
    <t>Lucro</t>
  </si>
  <si>
    <t>Impostos: PIS</t>
  </si>
  <si>
    <t>Impostos: COFINS</t>
  </si>
  <si>
    <t>Impostos: ISS (mun.)</t>
  </si>
  <si>
    <t>Regime de desoneração (4,5%)</t>
  </si>
  <si>
    <t xml:space="preserve">Prefeito Municipal </t>
  </si>
  <si>
    <t>Pedro Felipe Boettcher Chiarelli - Engenheiro civil - CREA/RS 92428</t>
  </si>
  <si>
    <t>Rua Selvino Bellini</t>
  </si>
  <si>
    <t>Selvino Bellini</t>
  </si>
  <si>
    <t>MUNICÍPIO:  IPUMIRIM / SC</t>
  </si>
  <si>
    <t>Escavação horizontal de solo de 1 categoria com trator de esteiras (100HAP/LAMINA: 2,19m³) af 07/2020</t>
  </si>
  <si>
    <t>Regularização de superfície com motonoveladora</t>
  </si>
  <si>
    <t>Carga, manobra e descarga de agregados ou solos em caminhão basculante 10m³ - carga com carregadeira 3,40 m³ e descarga livre</t>
  </si>
  <si>
    <t>ton</t>
  </si>
  <si>
    <t>2.5</t>
  </si>
  <si>
    <t>Escavação horizontal , incluindo escarificação, carga e descarga em solo de 2A categoria com trator de esteiras (347HP/lâmina: 8,70m³). AF 07/2020</t>
  </si>
  <si>
    <t>2.6</t>
  </si>
  <si>
    <r>
      <t>Desmonte de material de 3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 (bloco de rochas ou matacos), com martelete pneumático manual exclusive carga e transporte. AF 03/2021</t>
    </r>
  </si>
  <si>
    <r>
      <t>Escavação mecanizada de vala com prof. Até 1,5m (média montante e jusante/uma composição por trecho) com escavadeira (0,8m³), largura menor que 1,5m em solo de 2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categoria, local com baixo nível de interferência. AF_02/2021</t>
    </r>
  </si>
  <si>
    <t>Boca de lobo combinada - chapéu e grelha simples - BLC 02 - areia e brita comerciais</t>
  </si>
  <si>
    <t>3.7</t>
  </si>
  <si>
    <t>3.8</t>
  </si>
  <si>
    <t>3.9</t>
  </si>
  <si>
    <t>tubo dn 400mm concreto armado para drenagem pluvial classe PA-2</t>
  </si>
  <si>
    <t>tubo dn 300mm concreto armado para drenagem pluvial classe PA-1</t>
  </si>
  <si>
    <t>tubo dn 500mm concreto armado para drenagem pluvial classe PA-2</t>
  </si>
  <si>
    <t>3.10</t>
  </si>
  <si>
    <t>BOCA DE LOBO - bl</t>
  </si>
  <si>
    <t>Escavação mecânica de vala com prof. Até 1,5m</t>
  </si>
  <si>
    <t>concreto fck 30MPa traço 1:2,1:2,5 preparo em betoneira</t>
  </si>
  <si>
    <t>Formas de pinho para dispositivos de drenagem util. 3x confecc. Instalação e retirada</t>
  </si>
  <si>
    <t>1.5</t>
  </si>
  <si>
    <t>Tampa grelha para boca de lobo até 300kN C=90 L=30</t>
  </si>
  <si>
    <t>1.6</t>
  </si>
  <si>
    <t>Armação em aço CA-50 - fornecimento preparo e colocação</t>
  </si>
  <si>
    <t>kg</t>
  </si>
  <si>
    <t>1.7</t>
  </si>
  <si>
    <t>Reaterro com escavadeira</t>
  </si>
  <si>
    <t>Alvenaria de embasamento com bloco estrutural de concreto de 19x19x3 com espessura de 20cm - areia extraida</t>
  </si>
  <si>
    <t>Boca de lobo - bl</t>
  </si>
  <si>
    <t>PAVIMENTAÇÃO ASFÁLTICA VIAS URBANAS</t>
  </si>
  <si>
    <t>tubo dn 400mm concreto para drenagem pluvial classe PS-2</t>
  </si>
  <si>
    <t>tubo dn 500mm concreto para drenagem pluvial classe PS-2</t>
  </si>
  <si>
    <t>Transporte com caminhão basculante de 14m³, em via urbana pavimentada, adicional para DMT excedente a 30km. (macadame e brita graduada) = usado dmt 26km</t>
  </si>
  <si>
    <t>Transporte comerc.c/basc.10m3 rod.pav.  - (transpCBUQ) DMT -26km</t>
  </si>
  <si>
    <t>4.11</t>
  </si>
  <si>
    <t>4.12</t>
  </si>
  <si>
    <t>Pintura de meio-fio com tinta branca a base de cal (caiação) AF_05/2021</t>
  </si>
  <si>
    <t>Pintura de faixa de pedrestre ou zebrada tinta retrorefletida  a base de resina acrílica com microesferas de vidro, E=30cm, aplicação manual. AF_05/2021</t>
  </si>
  <si>
    <t>Meio-fio ou guia de concreto pré-moldado, comp. 1,0m x 0,30 x 0,10/0,12 m (Hxl1/l2)</t>
  </si>
  <si>
    <t>Pintura de eixo viário sobre asfalto com tinta retrorefletiva a base de resina acrílica com micro esferas de visro, aplicação mecânica com demarcadora autoproprlida .AF_05/2021om micro esfera</t>
  </si>
  <si>
    <t>5.3</t>
  </si>
  <si>
    <t>Carga e manobra e descarga de brita para base</t>
  </si>
  <si>
    <r>
      <t xml:space="preserve">Sub-base para pavimentação com Brita graduada </t>
    </r>
    <r>
      <rPr>
        <b/>
        <sz val="9"/>
        <rFont val="Arial"/>
        <family val="2"/>
      </rPr>
      <t xml:space="preserve">e= 15cm </t>
    </r>
  </si>
  <si>
    <r>
      <t xml:space="preserve">Base para pavimentação com Brita graduada </t>
    </r>
    <r>
      <rPr>
        <b/>
        <sz val="9"/>
        <rFont val="Arial"/>
        <family val="2"/>
      </rPr>
      <t xml:space="preserve">e= 15cm </t>
    </r>
  </si>
  <si>
    <t>Carga e manobra e descarga de brita para base e sub-base</t>
  </si>
  <si>
    <t>Construção de pavimento com aplicação de Concreto betuminoso usinado a Quente e= 5cm  com execução de corpo de prova p/ verificação de espessura</t>
  </si>
  <si>
    <t xml:space="preserve">Placa de regulamentação em aço, R1 lado 0,414m - pelicula refletiva tipo 1 + SI - fornecimento e implantação  </t>
  </si>
  <si>
    <t>5.4</t>
  </si>
  <si>
    <t>Suporte metálico galvanizado para placa de advertencia ou regulamentação - lado ou diâmetro de 0,60m - fornecimento e instalação</t>
  </si>
  <si>
    <t>04/01/2023</t>
  </si>
  <si>
    <t>Atualização</t>
  </si>
  <si>
    <r>
      <t xml:space="preserve">Nº REGISTRO : </t>
    </r>
    <r>
      <rPr>
        <sz val="10"/>
        <color indexed="8"/>
        <rFont val="Arial"/>
        <family val="2"/>
      </rPr>
      <t>     CAU/SC A 34.444-3</t>
    </r>
  </si>
  <si>
    <r>
      <t xml:space="preserve">NOME: </t>
    </r>
    <r>
      <rPr>
        <sz val="10"/>
        <color indexed="8"/>
        <rFont val="Arial"/>
        <family val="2"/>
      </rPr>
      <t>   Rafael Lisboa Mothcy</t>
    </r>
    <r>
      <rPr>
        <b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Arquiteto</t>
    </r>
  </si>
  <si>
    <t>M</t>
  </si>
  <si>
    <t>AREIA</t>
  </si>
  <si>
    <t>M3</t>
  </si>
  <si>
    <t>CONCRETO 20 MPA</t>
  </si>
  <si>
    <t>AJUDANTE</t>
  </si>
  <si>
    <t>H</t>
  </si>
  <si>
    <t>PEDREIRO</t>
  </si>
  <si>
    <t>SERVENTE</t>
  </si>
  <si>
    <t>ARGAMASSA</t>
  </si>
  <si>
    <t>MAQUINA EXTRUSORA</t>
  </si>
  <si>
    <t>CHP</t>
  </si>
  <si>
    <t>CHI</t>
  </si>
  <si>
    <t>4.13</t>
  </si>
  <si>
    <t>MEIO FIO EXTRUSADO 15 CM BASEX15 CM E 12 CM TOPO (SINAPI 94363 ADAPTADO)</t>
  </si>
  <si>
    <t>COMP.2</t>
  </si>
  <si>
    <t>4.8.1</t>
  </si>
  <si>
    <t>DRENO 50X80</t>
  </si>
  <si>
    <t>GEOTEXTIL</t>
  </si>
  <si>
    <t>BRITA 2</t>
  </si>
  <si>
    <t>TUBO DRENO, CORRUGADO, ESPIRALADO, FLEXIVEL, PERFURADO, EM POLIETILENO DE M AS 1,0030000 11,37 11,40
ALTA DENSIDADE (PEAD), DN 100 MM, (4") PARA DRENAGEM</t>
  </si>
  <si>
    <t>COMP.4</t>
  </si>
  <si>
    <t>ASFALTO DILUIDO DE PETRÓLEO - CM30 (04/2023-PR, CONFORME ANP + 17% DE ICMS)</t>
  </si>
  <si>
    <t>Data de referência dos custos: SINAPI 05/2023    - SICRO 01/2023  BDI = 25,64%  -  Desonerado</t>
  </si>
  <si>
    <t>sinapi</t>
  </si>
  <si>
    <t>sicro</t>
  </si>
  <si>
    <t>composição</t>
  </si>
  <si>
    <t>comp.1</t>
  </si>
  <si>
    <t>FONTE</t>
  </si>
  <si>
    <t>ANP</t>
  </si>
  <si>
    <t>PR/04/2023</t>
  </si>
  <si>
    <t>4.7.1</t>
  </si>
  <si>
    <t>4.7.2</t>
  </si>
  <si>
    <t>SICRO</t>
  </si>
  <si>
    <t>PINTURA DE LIGAÇÃO (SERVIÇO)</t>
  </si>
  <si>
    <t>TON</t>
  </si>
  <si>
    <t>M2</t>
  </si>
  <si>
    <t>EMULSÃO ASFÁLTICA RR-2C (+17%ICMS-SC) - INSUMO SICRO 4011353</t>
  </si>
  <si>
    <t>PREÇO TOTAL</t>
  </si>
  <si>
    <t>2.7</t>
  </si>
  <si>
    <t>2.8</t>
  </si>
  <si>
    <t>M2623</t>
  </si>
  <si>
    <t>Regularização e compactação do sub leito</t>
  </si>
  <si>
    <t>volume calculado</t>
  </si>
  <si>
    <t>diferença</t>
  </si>
  <si>
    <t>7793</t>
  </si>
  <si>
    <t xml:space="preserve">TUBO DE CONCRETO SIMPLES PARA AGUAS PLUVIAIS, CLASSE PS2, COM ENCAIXE PONTA E BOLSA, DIAMETRO NOMINAL DE 600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</si>
  <si>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</si>
  <si>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COMPOSIÇÃO</t>
  </si>
  <si>
    <t>COMP.6</t>
  </si>
  <si>
    <t>MEIO FIO EXTRUSADO 15CM BASE X 15 CM E 12CM TOPO (SINAPI 94363 ADPT)</t>
  </si>
  <si>
    <t>05/09/2023</t>
  </si>
  <si>
    <t>DATA DO ORÇAMENTO:      05/09/2023</t>
  </si>
  <si>
    <t>Data de referência dos custos: SINAPI 10/2023    - SICRO 07/2023  BDI = 25,64%  -  Desonerado</t>
  </si>
  <si>
    <t>ok</t>
  </si>
  <si>
    <t>Desmonte de material de 3ª categoria (bloco de rochas ou matacos), com martelete pneumático manual exclusive carga e transporte. AF 03/2021</t>
  </si>
  <si>
    <t>2003850</t>
  </si>
  <si>
    <t>Lastro de brita comercial compactado com soquete vibratório - espalhamento manual</t>
  </si>
  <si>
    <t>104730</t>
  </si>
  <si>
    <t>REATERRO MECANIZADO DE VALA COM ESCAVADEIRA HIDRÁULICA (CAPACIDADE DA CAÇAMBA: 0,8 M³/POTÊNCIA: 111 HP), LARGURA DE 1,5 A 2,5 M, PROFUNDIDADE DE 1,5 A 3,0 M, COM SOLO (SEM SUBSTITUIÇÃO) DE 1ª CATEGORIA, COM PLACA VIBRATÓRIA. AF_08/2023</t>
  </si>
  <si>
    <t>3.11</t>
  </si>
  <si>
    <t>3.12</t>
  </si>
  <si>
    <t>95568</t>
  </si>
  <si>
    <t>TUBO DE CONCRETO (SIMPLES) PARA REDES COLETORAS DE ÁGUAS PLUVIAIS, DIÂMETRO DE 400 MM, JUNTA RÍGIDA, INSTALADO EM LOCAL COM BAIXO NÍVEL DE INTERFERÊNCIAS - FORNECIMENTO E ASSENTAMENTO. AF_12/2015</t>
  </si>
  <si>
    <t>92811</t>
  </si>
  <si>
    <t>ASSENTAMENTO DE TUBO DE CONCRETO PARA REDES COLETORAS DE ÁGUAS PLUVIAIS, DIÂMETRO DE 600 MM, JUNTA RÍGIDA, INSTALADO EM LOCAL COM BAIXO NÍVEL DE INTERFERÊNCIAS (NÃO INCLUI FORNECIMENTO). AF_12/2015</t>
  </si>
  <si>
    <t>COMP.9</t>
  </si>
  <si>
    <t>EXECUÇÃO E COMPACTAÇÃO DE BASE E OU SUB BASE PARA PAVIMENTAÇÃO DE MACADAME SECO - EXCLUSIVE CARGA E TRANSPORTE (BASEADO NO SINAPI 96400)</t>
  </si>
  <si>
    <t>PINTURA DE LIGAÇÃO RR-1C (0,5L/m²) (SERVIÇO)</t>
  </si>
  <si>
    <t>PR/07/2023</t>
  </si>
  <si>
    <t>EMULSÃO ASFÁLTICA RR-1C (+17%ICMS-SC) - INSUMO SICRO 4011353</t>
  </si>
  <si>
    <t>t</t>
  </si>
  <si>
    <t>DNIT</t>
  </si>
  <si>
    <t>PORTARIA 1977/2017</t>
  </si>
  <si>
    <t>TRANSPORTE DE MATERIAL BETUMINOSO CONFORME PORTARIA 1977/2017 DNIT PARA A DISTÂNCIA DE 388KM - PINTURA DE LIGAÇÃO</t>
  </si>
  <si>
    <t>Imprimação com CM30 (1,2L/m²) (SERVIÇO)</t>
  </si>
  <si>
    <t>EMULSÃO ASFÁLTICA PARA SERVIÇO DE IMPRIMAÇÃO ANP (+17% DE ICMS) - INSUMO SICRO 4011351</t>
  </si>
  <si>
    <t>TRANSPORTE DE MATERIAL BETUMINOSO CONFORME PORTARIA 1977/2017 DNIT PARA A DISTÂNCIA DE 388KM - IMPRIMAÇÃO</t>
  </si>
  <si>
    <t>OK</t>
  </si>
  <si>
    <t>COMP.10</t>
  </si>
  <si>
    <t>SERVIÇO DE TOPOGRAFICA PARA LOCAÇÃO DE OBRA (BASEADO NA SINAPI 78442)</t>
  </si>
  <si>
    <t>M²</t>
  </si>
  <si>
    <t>COMP.11</t>
  </si>
  <si>
    <t>EQUIPE DE CAMPO - ADMINISTRAÇÃO LOCAL</t>
  </si>
  <si>
    <t>MÊS</t>
  </si>
  <si>
    <t>Rua Selvino Bellini (ATUALIZADA 24/11/2023)</t>
  </si>
  <si>
    <r>
      <t xml:space="preserve">NOME: </t>
    </r>
    <r>
      <rPr>
        <sz val="10"/>
        <color indexed="8"/>
        <rFont val="Arial"/>
        <family val="2"/>
      </rPr>
      <t>  IGORI FRIPP DAINESE</t>
    </r>
  </si>
  <si>
    <r>
      <t xml:space="preserve">Nº REGISTRO : </t>
    </r>
    <r>
      <rPr>
        <sz val="10"/>
        <color indexed="8"/>
        <rFont val="Arial"/>
        <family val="2"/>
      </rPr>
      <t>     CREA/SC 166153-8</t>
    </r>
  </si>
  <si>
    <t>EXECUÇÃO DE BASE PARA PAVIMENTAÇÃO DE BRITA GRADUADA SIMPLES - EXCLUSIVE CARGA, TRANSPORTE E MATERIAL GRANULAR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</si>
</sst>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%"/>
    <numFmt numFmtId="188" formatCode="[$-416]dddd\,\ d&quot; de &quot;mmmm&quot; de &quot;yyyy"/>
    <numFmt numFmtId="189" formatCode="#,##0.00_ ;\-#,##0.00\ "/>
    <numFmt numFmtId="190" formatCode="_(* #,##0.000_);_(* \(#,##0.000\);_(* &quot;-&quot;??_);_(@_)"/>
    <numFmt numFmtId="191" formatCode="_(* #,##0.0000_);_(* \(#,##0.0000\);_(* &quot;-&quot;??_);_(@_)"/>
    <numFmt numFmtId="192" formatCode="_-* #,##0.0000_-;\-* #,##0.0000_-;_-* &quot;-&quot;????_-;_-@_-"/>
    <numFmt numFmtId="193" formatCode="&quot;Ativado&quot;;&quot;Ativado&quot;;&quot;Desativado&quot;"/>
    <numFmt numFmtId="194" formatCode="[$€-2]\ #,##0.00_);[Red]\([$€-2]\ #,##0.00\)"/>
    <numFmt numFmtId="195" formatCode="dd\ &quot;de&quot;\ mmmm\ &quot;de&quot;\ yyyy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Calibri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39" fontId="32" fillId="0" borderId="16" xfId="65" applyNumberFormat="1" applyFont="1" applyBorder="1" applyAlignment="1">
      <alignment horizontal="right" wrapText="1"/>
    </xf>
    <xf numFmtId="10" fontId="32" fillId="0" borderId="16" xfId="53" applyNumberFormat="1" applyFont="1" applyBorder="1" applyAlignment="1">
      <alignment horizontal="center" wrapText="1"/>
    </xf>
    <xf numFmtId="39" fontId="32" fillId="16" borderId="16" xfId="65" applyNumberFormat="1" applyFont="1" applyFill="1" applyBorder="1" applyAlignment="1">
      <alignment horizontal="right" wrapText="1"/>
    </xf>
    <xf numFmtId="10" fontId="32" fillId="16" borderId="17" xfId="53" applyNumberFormat="1" applyFont="1" applyFill="1" applyBorder="1" applyAlignment="1">
      <alignment horizontal="right" wrapText="1"/>
    </xf>
    <xf numFmtId="171" fontId="32" fillId="0" borderId="16" xfId="65" applyNumberFormat="1" applyFont="1" applyBorder="1" applyAlignment="1">
      <alignment horizontal="center" wrapText="1"/>
    </xf>
    <xf numFmtId="37" fontId="32" fillId="0" borderId="16" xfId="65" applyNumberFormat="1" applyFont="1" applyBorder="1" applyAlignment="1">
      <alignment horizontal="center" wrapText="1"/>
    </xf>
    <xf numFmtId="39" fontId="32" fillId="16" borderId="16" xfId="0" applyNumberFormat="1" applyFont="1" applyFill="1" applyBorder="1" applyAlignment="1">
      <alignment horizontal="right" vertical="center" wrapText="1"/>
    </xf>
    <xf numFmtId="39" fontId="32" fillId="16" borderId="16" xfId="0" applyNumberFormat="1" applyFont="1" applyFill="1" applyBorder="1" applyAlignment="1">
      <alignment horizontal="center" vertical="center" wrapText="1"/>
    </xf>
    <xf numFmtId="39" fontId="32" fillId="16" borderId="17" xfId="65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39" fontId="32" fillId="16" borderId="19" xfId="0" applyNumberFormat="1" applyFont="1" applyFill="1" applyBorder="1" applyAlignment="1">
      <alignment horizontal="right" vertical="center" wrapText="1"/>
    </xf>
    <xf numFmtId="39" fontId="32" fillId="16" borderId="19" xfId="0" applyNumberFormat="1" applyFont="1" applyFill="1" applyBorder="1" applyAlignment="1">
      <alignment horizontal="center" vertical="center" wrapText="1"/>
    </xf>
    <xf numFmtId="39" fontId="32" fillId="16" borderId="19" xfId="65" applyNumberFormat="1" applyFont="1" applyFill="1" applyBorder="1" applyAlignment="1">
      <alignment horizontal="right" wrapText="1"/>
    </xf>
    <xf numFmtId="39" fontId="32" fillId="16" borderId="20" xfId="65" applyNumberFormat="1" applyFont="1" applyFill="1" applyBorder="1" applyAlignment="1">
      <alignment horizontal="right" wrapText="1"/>
    </xf>
    <xf numFmtId="10" fontId="32" fillId="0" borderId="0" xfId="53" applyNumberFormat="1" applyFont="1" applyFill="1" applyBorder="1" applyAlignment="1">
      <alignment horizontal="right" wrapText="1"/>
    </xf>
    <xf numFmtId="0" fontId="35" fillId="24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171" fontId="5" fillId="0" borderId="18" xfId="65" applyFont="1" applyBorder="1" applyAlignment="1">
      <alignment horizontal="center" vertical="top"/>
    </xf>
    <xf numFmtId="9" fontId="32" fillId="0" borderId="16" xfId="53" applyFont="1" applyBorder="1" applyAlignment="1">
      <alignment horizontal="center" wrapText="1"/>
    </xf>
    <xf numFmtId="0" fontId="35" fillId="25" borderId="16" xfId="0" applyFont="1" applyFill="1" applyBorder="1" applyAlignment="1">
      <alignment horizontal="center" vertical="center"/>
    </xf>
    <xf numFmtId="10" fontId="0" fillId="25" borderId="16" xfId="0" applyNumberFormat="1" applyFont="1" applyFill="1" applyBorder="1" applyAlignment="1">
      <alignment horizontal="center" vertical="center"/>
    </xf>
    <xf numFmtId="2" fontId="0" fillId="25" borderId="16" xfId="48" applyNumberFormat="1" applyFont="1" applyFill="1" applyBorder="1" applyAlignment="1">
      <alignment horizontal="center" vertical="center"/>
    </xf>
    <xf numFmtId="171" fontId="35" fillId="25" borderId="16" xfId="65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171" fontId="0" fillId="25" borderId="16" xfId="65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5" fillId="0" borderId="1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 wrapText="1"/>
    </xf>
    <xf numFmtId="3" fontId="35" fillId="25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1" fontId="0" fillId="0" borderId="16" xfId="65" applyFont="1" applyBorder="1" applyAlignment="1">
      <alignment horizontal="center" vertical="center"/>
    </xf>
    <xf numFmtId="10" fontId="5" fillId="24" borderId="16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1" fontId="35" fillId="25" borderId="16" xfId="0" applyNumberFormat="1" applyFont="1" applyFill="1" applyBorder="1" applyAlignment="1">
      <alignment horizontal="center" vertical="center"/>
    </xf>
    <xf numFmtId="171" fontId="0" fillId="25" borderId="16" xfId="65" applyFont="1" applyFill="1" applyBorder="1" applyAlignment="1">
      <alignment horizontal="center" vertical="center"/>
    </xf>
    <xf numFmtId="171" fontId="0" fillId="24" borderId="17" xfId="65" applyFont="1" applyFill="1" applyBorder="1" applyAlignment="1">
      <alignment horizontal="center" vertical="center" wrapText="1"/>
    </xf>
    <xf numFmtId="171" fontId="0" fillId="0" borderId="21" xfId="65" applyFont="1" applyFill="1" applyBorder="1" applyAlignment="1">
      <alignment horizontal="center" vertical="center"/>
    </xf>
    <xf numFmtId="171" fontId="0" fillId="0" borderId="21" xfId="65" applyFont="1" applyBorder="1" applyAlignment="1">
      <alignment horizontal="center" vertical="center"/>
    </xf>
    <xf numFmtId="2" fontId="0" fillId="0" borderId="21" xfId="48" applyNumberFormat="1" applyFont="1" applyBorder="1" applyAlignment="1">
      <alignment horizontal="center" vertical="center"/>
    </xf>
    <xf numFmtId="10" fontId="5" fillId="24" borderId="21" xfId="0" applyNumberFormat="1" applyFont="1" applyFill="1" applyBorder="1" applyAlignment="1">
      <alignment horizontal="center" vertical="center" wrapText="1"/>
    </xf>
    <xf numFmtId="171" fontId="0" fillId="0" borderId="22" xfId="65" applyFont="1" applyBorder="1" applyAlignment="1">
      <alignment horizontal="center" vertical="center"/>
    </xf>
    <xf numFmtId="170" fontId="12" fillId="0" borderId="17" xfId="48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0" xfId="65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1" fontId="0" fillId="0" borderId="13" xfId="65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1" fontId="0" fillId="0" borderId="16" xfId="65" applyFont="1" applyFill="1" applyBorder="1" applyAlignment="1">
      <alignment horizontal="center" vertical="center"/>
    </xf>
    <xf numFmtId="171" fontId="0" fillId="0" borderId="17" xfId="65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0" fillId="0" borderId="16" xfId="65" applyFont="1" applyFill="1" applyBorder="1" applyAlignment="1">
      <alignment horizontal="center" vertical="center"/>
    </xf>
    <xf numFmtId="170" fontId="12" fillId="24" borderId="17" xfId="48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justify" vertical="center" wrapText="1"/>
    </xf>
    <xf numFmtId="1" fontId="35" fillId="0" borderId="16" xfId="0" applyNumberFormat="1" applyFont="1" applyFill="1" applyBorder="1" applyAlignment="1">
      <alignment horizontal="center" vertical="center"/>
    </xf>
    <xf numFmtId="10" fontId="0" fillId="24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171" fontId="12" fillId="0" borderId="16" xfId="65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1" fontId="0" fillId="0" borderId="16" xfId="65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10" fontId="0" fillId="0" borderId="0" xfId="54" applyNumberFormat="1" applyFont="1" applyAlignment="1" applyProtection="1">
      <alignment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0" fontId="0" fillId="0" borderId="26" xfId="54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0" fontId="0" fillId="0" borderId="27" xfId="54" applyNumberFormat="1" applyFont="1" applyBorder="1" applyAlignment="1" applyProtection="1">
      <alignment horizontal="center" vertical="center"/>
      <protection/>
    </xf>
    <xf numFmtId="195" fontId="0" fillId="0" borderId="0" xfId="0" applyNumberFormat="1" applyAlignment="1" applyProtection="1">
      <alignment/>
      <protection/>
    </xf>
    <xf numFmtId="10" fontId="12" fillId="0" borderId="28" xfId="0" applyNumberFormat="1" applyFont="1" applyFill="1" applyBorder="1" applyAlignment="1" applyProtection="1">
      <alignment horizontal="center" vertical="center"/>
      <protection/>
    </xf>
    <xf numFmtId="10" fontId="12" fillId="22" borderId="28" xfId="0" applyNumberFormat="1" applyFont="1" applyFill="1" applyBorder="1" applyAlignment="1" applyProtection="1">
      <alignment horizontal="center" vertical="center"/>
      <protection locked="0"/>
    </xf>
    <xf numFmtId="10" fontId="12" fillId="0" borderId="28" xfId="54" applyNumberFormat="1" applyFont="1" applyFill="1" applyBorder="1" applyAlignment="1" applyProtection="1">
      <alignment horizontal="center" vertical="center"/>
      <protection/>
    </xf>
    <xf numFmtId="10" fontId="12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25" borderId="18" xfId="0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 horizontal="center" vertical="center" wrapText="1"/>
    </xf>
    <xf numFmtId="171" fontId="0" fillId="25" borderId="16" xfId="65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Fill="1" applyAlignment="1">
      <alignment horizontal="left" vertical="center"/>
    </xf>
    <xf numFmtId="2" fontId="37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34" fillId="0" borderId="30" xfId="0" applyNumberFormat="1" applyFont="1" applyFill="1" applyBorder="1" applyAlignment="1">
      <alignment horizontal="center" vertical="center"/>
    </xf>
    <xf numFmtId="4" fontId="34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65" applyFont="1" applyAlignment="1">
      <alignment vertical="center"/>
    </xf>
    <xf numFmtId="0" fontId="0" fillId="24" borderId="0" xfId="0" applyFill="1" applyAlignment="1">
      <alignment vertical="center"/>
    </xf>
    <xf numFmtId="2" fontId="46" fillId="0" borderId="21" xfId="48" applyNumberFormat="1" applyFont="1" applyBorder="1" applyAlignment="1">
      <alignment horizontal="center" vertical="center"/>
    </xf>
    <xf numFmtId="2" fontId="46" fillId="0" borderId="0" xfId="48" applyNumberFormat="1" applyFont="1" applyBorder="1" applyAlignment="1">
      <alignment horizontal="center" vertical="center"/>
    </xf>
    <xf numFmtId="2" fontId="46" fillId="0" borderId="16" xfId="48" applyNumberFormat="1" applyFont="1" applyBorder="1" applyAlignment="1">
      <alignment horizontal="center" vertical="center"/>
    </xf>
    <xf numFmtId="2" fontId="46" fillId="0" borderId="16" xfId="48" applyNumberFormat="1" applyFont="1" applyFill="1" applyBorder="1" applyAlignment="1">
      <alignment horizontal="center" vertical="center"/>
    </xf>
    <xf numFmtId="2" fontId="0" fillId="25" borderId="16" xfId="48" applyNumberFormat="1" applyFont="1" applyFill="1" applyBorder="1" applyAlignment="1">
      <alignment horizontal="center" vertical="center" wrapText="1"/>
    </xf>
    <xf numFmtId="4" fontId="13" fillId="0" borderId="0" xfId="65" applyNumberFormat="1" applyFont="1" applyFill="1" applyBorder="1" applyAlignment="1">
      <alignment horizontal="center" vertical="center"/>
    </xf>
    <xf numFmtId="4" fontId="34" fillId="0" borderId="32" xfId="65" applyNumberFormat="1" applyFont="1" applyFill="1" applyBorder="1" applyAlignment="1">
      <alignment horizontal="center" vertical="center"/>
    </xf>
    <xf numFmtId="4" fontId="34" fillId="0" borderId="33" xfId="65" applyNumberFormat="1" applyFont="1" applyFill="1" applyBorder="1" applyAlignment="1">
      <alignment horizontal="center" vertical="center"/>
    </xf>
    <xf numFmtId="4" fontId="12" fillId="0" borderId="16" xfId="65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2" fontId="0" fillId="0" borderId="21" xfId="48" applyNumberFormat="1" applyFont="1" applyBorder="1" applyAlignment="1">
      <alignment horizontal="center" vertical="center"/>
    </xf>
    <xf numFmtId="2" fontId="0" fillId="0" borderId="0" xfId="48" applyNumberFormat="1" applyFont="1" applyBorder="1" applyAlignment="1">
      <alignment horizontal="center" vertical="center"/>
    </xf>
    <xf numFmtId="2" fontId="0" fillId="0" borderId="16" xfId="48" applyNumberFormat="1" applyFont="1" applyFill="1" applyBorder="1" applyAlignment="1">
      <alignment horizontal="center" vertical="center"/>
    </xf>
    <xf numFmtId="4" fontId="0" fillId="25" borderId="16" xfId="48" applyNumberFormat="1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0" fontId="12" fillId="26" borderId="20" xfId="48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center" vertical="center"/>
    </xf>
    <xf numFmtId="171" fontId="0" fillId="27" borderId="16" xfId="65" applyFont="1" applyFill="1" applyBorder="1" applyAlignment="1">
      <alignment horizontal="center" vertical="center"/>
    </xf>
    <xf numFmtId="10" fontId="0" fillId="27" borderId="16" xfId="0" applyNumberFormat="1" applyFont="1" applyFill="1" applyBorder="1" applyAlignment="1">
      <alignment horizontal="center" vertical="center"/>
    </xf>
    <xf numFmtId="2" fontId="0" fillId="27" borderId="16" xfId="48" applyNumberFormat="1" applyFont="1" applyFill="1" applyBorder="1" applyAlignment="1">
      <alignment horizontal="center" vertical="center"/>
    </xf>
    <xf numFmtId="10" fontId="0" fillId="27" borderId="16" xfId="0" applyNumberFormat="1" applyFont="1" applyFill="1" applyBorder="1" applyAlignment="1">
      <alignment horizontal="center" vertical="center" wrapText="1"/>
    </xf>
    <xf numFmtId="4" fontId="0" fillId="27" borderId="16" xfId="0" applyNumberFormat="1" applyFont="1" applyFill="1" applyBorder="1" applyAlignment="1">
      <alignment horizontal="center" vertical="center" wrapText="1"/>
    </xf>
    <xf numFmtId="171" fontId="0" fillId="27" borderId="17" xfId="65" applyFont="1" applyFill="1" applyBorder="1" applyAlignment="1">
      <alignment horizontal="center" vertical="center" wrapText="1"/>
    </xf>
    <xf numFmtId="0" fontId="0" fillId="27" borderId="0" xfId="0" applyFont="1" applyFill="1" applyAlignment="1">
      <alignment vertical="center"/>
    </xf>
    <xf numFmtId="0" fontId="0" fillId="27" borderId="0" xfId="0" applyFill="1" applyAlignment="1">
      <alignment/>
    </xf>
    <xf numFmtId="0" fontId="0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 wrapText="1"/>
    </xf>
    <xf numFmtId="0" fontId="35" fillId="28" borderId="16" xfId="0" applyFont="1" applyFill="1" applyBorder="1" applyAlignment="1">
      <alignment horizontal="center" vertical="center"/>
    </xf>
    <xf numFmtId="171" fontId="0" fillId="28" borderId="16" xfId="65" applyFont="1" applyFill="1" applyBorder="1" applyAlignment="1">
      <alignment horizontal="center" vertical="center"/>
    </xf>
    <xf numFmtId="10" fontId="0" fillId="28" borderId="16" xfId="0" applyNumberFormat="1" applyFont="1" applyFill="1" applyBorder="1" applyAlignment="1">
      <alignment horizontal="center" vertical="center"/>
    </xf>
    <xf numFmtId="2" fontId="0" fillId="28" borderId="16" xfId="48" applyNumberFormat="1" applyFont="1" applyFill="1" applyBorder="1" applyAlignment="1">
      <alignment horizontal="center" vertical="center"/>
    </xf>
    <xf numFmtId="10" fontId="0" fillId="28" borderId="16" xfId="0" applyNumberFormat="1" applyFont="1" applyFill="1" applyBorder="1" applyAlignment="1">
      <alignment horizontal="center" vertical="center" wrapText="1"/>
    </xf>
    <xf numFmtId="4" fontId="0" fillId="28" borderId="16" xfId="0" applyNumberFormat="1" applyFont="1" applyFill="1" applyBorder="1" applyAlignment="1">
      <alignment horizontal="center" vertical="center" wrapText="1"/>
    </xf>
    <xf numFmtId="171" fontId="0" fillId="28" borderId="17" xfId="65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28" borderId="0" xfId="0" applyFill="1" applyAlignment="1">
      <alignment/>
    </xf>
    <xf numFmtId="0" fontId="35" fillId="28" borderId="16" xfId="0" applyFont="1" applyFill="1" applyBorder="1" applyAlignment="1">
      <alignment horizontal="center" vertical="center" wrapText="1"/>
    </xf>
    <xf numFmtId="171" fontId="35" fillId="28" borderId="16" xfId="65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 wrapText="1"/>
    </xf>
    <xf numFmtId="171" fontId="35" fillId="27" borderId="16" xfId="65" applyFont="1" applyFill="1" applyBorder="1" applyAlignment="1">
      <alignment horizontal="center" vertical="center"/>
    </xf>
    <xf numFmtId="171" fontId="0" fillId="27" borderId="16" xfId="65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8" borderId="0" xfId="0" applyFill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28" borderId="22" xfId="0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right" vertical="center"/>
    </xf>
    <xf numFmtId="3" fontId="35" fillId="25" borderId="22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71" fontId="0" fillId="0" borderId="17" xfId="6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29" borderId="12" xfId="0" applyFont="1" applyFill="1" applyBorder="1" applyAlignment="1">
      <alignment horizontal="left" vertical="center"/>
    </xf>
    <xf numFmtId="0" fontId="34" fillId="29" borderId="18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 wrapText="1"/>
    </xf>
    <xf numFmtId="0" fontId="35" fillId="29" borderId="18" xfId="0" applyFont="1" applyFill="1" applyBorder="1" applyAlignment="1">
      <alignment horizontal="right" vertical="center"/>
    </xf>
    <xf numFmtId="3" fontId="35" fillId="29" borderId="18" xfId="0" applyNumberFormat="1" applyFont="1" applyFill="1" applyBorder="1" applyAlignment="1">
      <alignment horizontal="center" vertical="center"/>
    </xf>
    <xf numFmtId="0" fontId="9" fillId="29" borderId="12" xfId="0" applyFont="1" applyFill="1" applyBorder="1" applyAlignment="1">
      <alignment horizontal="center" vertical="center" wrapText="1"/>
    </xf>
    <xf numFmtId="0" fontId="11" fillId="29" borderId="0" xfId="0" applyFont="1" applyFill="1" applyAlignment="1">
      <alignment/>
    </xf>
    <xf numFmtId="0" fontId="11" fillId="29" borderId="0" xfId="0" applyFont="1" applyFill="1" applyAlignment="1">
      <alignment wrapText="1"/>
    </xf>
    <xf numFmtId="0" fontId="0" fillId="29" borderId="0" xfId="0" applyFont="1" applyFill="1" applyAlignment="1">
      <alignment horizontal="left" wrapText="1"/>
    </xf>
    <xf numFmtId="0" fontId="11" fillId="29" borderId="0" xfId="0" applyFont="1" applyFill="1" applyAlignment="1">
      <alignment horizontal="left" wrapText="1"/>
    </xf>
    <xf numFmtId="0" fontId="0" fillId="29" borderId="0" xfId="0" applyFill="1" applyAlignment="1">
      <alignment/>
    </xf>
    <xf numFmtId="171" fontId="35" fillId="0" borderId="16" xfId="65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2" fontId="37" fillId="0" borderId="0" xfId="0" applyNumberFormat="1" applyFont="1" applyFill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5" fillId="25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" fillId="26" borderId="34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left" vertical="center" wrapText="1"/>
    </xf>
    <xf numFmtId="0" fontId="1" fillId="26" borderId="35" xfId="0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left" vertical="center" wrapText="1"/>
    </xf>
    <xf numFmtId="0" fontId="1" fillId="26" borderId="36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26" borderId="29" xfId="0" applyFont="1" applyFill="1" applyBorder="1" applyAlignment="1">
      <alignment horizontal="left" vertical="center" wrapText="1"/>
    </xf>
    <xf numFmtId="0" fontId="1" fillId="26" borderId="21" xfId="0" applyFont="1" applyFill="1" applyBorder="1" applyAlignment="1">
      <alignment horizontal="left" vertical="center" wrapText="1"/>
    </xf>
    <xf numFmtId="0" fontId="1" fillId="26" borderId="4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29" borderId="41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 wrapText="1"/>
    </xf>
    <xf numFmtId="0" fontId="9" fillId="16" borderId="43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9" fillId="16" borderId="44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26" borderId="45" xfId="0" applyFont="1" applyFill="1" applyBorder="1" applyAlignment="1">
      <alignment horizontal="center" vertical="center" wrapText="1"/>
    </xf>
    <xf numFmtId="0" fontId="9" fillId="26" borderId="46" xfId="0" applyFont="1" applyFill="1" applyBorder="1" applyAlignment="1">
      <alignment horizontal="center" vertical="center" wrapText="1"/>
    </xf>
    <xf numFmtId="0" fontId="9" fillId="26" borderId="47" xfId="0" applyFont="1" applyFill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7" fillId="0" borderId="29" xfId="0" applyFont="1" applyFill="1" applyBorder="1" applyAlignment="1" applyProtection="1">
      <alignment horizontal="center" vertical="center" wrapText="1"/>
      <protection/>
    </xf>
    <xf numFmtId="0" fontId="13" fillId="22" borderId="16" xfId="0" applyFont="1" applyFill="1" applyBorder="1" applyAlignment="1" applyProtection="1">
      <alignment horizontal="center" vertical="center" wrapText="1"/>
      <protection locked="0"/>
    </xf>
    <xf numFmtId="0" fontId="13" fillId="22" borderId="17" xfId="0" applyFont="1" applyFill="1" applyBorder="1" applyAlignment="1" applyProtection="1">
      <alignment horizontal="center" vertical="center" wrapText="1"/>
      <protection locked="0"/>
    </xf>
    <xf numFmtId="0" fontId="37" fillId="0" borderId="5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54" xfId="0" applyFont="1" applyFill="1" applyBorder="1" applyAlignment="1" applyProtection="1">
      <alignment horizontal="center" vertical="center" wrapText="1"/>
      <protection/>
    </xf>
    <xf numFmtId="0" fontId="13" fillId="22" borderId="19" xfId="0" applyFont="1" applyFill="1" applyBorder="1" applyAlignment="1" applyProtection="1">
      <alignment horizontal="center" vertical="center" wrapText="1"/>
      <protection locked="0"/>
    </xf>
    <xf numFmtId="0" fontId="13" fillId="22" borderId="20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56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38" fillId="0" borderId="55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56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0" fontId="0" fillId="22" borderId="55" xfId="0" applyFill="1" applyBorder="1" applyAlignment="1" applyProtection="1">
      <alignment horizontal="center" vertical="center" wrapText="1"/>
      <protection locked="0"/>
    </xf>
    <xf numFmtId="0" fontId="0" fillId="22" borderId="15" xfId="0" applyFill="1" applyBorder="1" applyAlignment="1" applyProtection="1">
      <alignment horizontal="center" vertical="center" wrapText="1"/>
      <protection locked="0"/>
    </xf>
    <xf numFmtId="0" fontId="0" fillId="22" borderId="56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0" fillId="22" borderId="0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5" xfId="0" applyFill="1" applyBorder="1" applyAlignment="1" applyProtection="1">
      <alignment horizontal="center" vertical="center" wrapText="1"/>
      <protection locked="0"/>
    </xf>
    <xf numFmtId="0" fontId="0" fillId="22" borderId="26" xfId="0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0" fillId="22" borderId="12" xfId="0" applyFill="1" applyBorder="1" applyAlignment="1" applyProtection="1">
      <alignment horizontal="center" vertical="center"/>
      <protection locked="0"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/>
      <protection locked="0"/>
    </xf>
    <xf numFmtId="0" fontId="0" fillId="22" borderId="25" xfId="0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/>
      <protection locked="0"/>
    </xf>
    <xf numFmtId="0" fontId="0" fillId="22" borderId="27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10" fontId="39" fillId="0" borderId="55" xfId="0" applyNumberFormat="1" applyFont="1" applyBorder="1" applyAlignment="1" applyProtection="1">
      <alignment horizontal="center" vertical="center" wrapText="1"/>
      <protection/>
    </xf>
    <xf numFmtId="10" fontId="39" fillId="0" borderId="15" xfId="0" applyNumberFormat="1" applyFont="1" applyBorder="1" applyAlignment="1" applyProtection="1">
      <alignment horizontal="center" vertical="center" wrapText="1"/>
      <protection/>
    </xf>
    <xf numFmtId="10" fontId="39" fillId="0" borderId="56" xfId="0" applyNumberFormat="1" applyFont="1" applyBorder="1" applyAlignment="1" applyProtection="1">
      <alignment horizontal="center" vertical="center" wrapText="1"/>
      <protection/>
    </xf>
    <xf numFmtId="10" fontId="39" fillId="0" borderId="12" xfId="0" applyNumberFormat="1" applyFont="1" applyBorder="1" applyAlignment="1" applyProtection="1">
      <alignment horizontal="center" vertical="center" wrapText="1"/>
      <protection/>
    </xf>
    <xf numFmtId="10" fontId="39" fillId="0" borderId="0" xfId="0" applyNumberFormat="1" applyFont="1" applyBorder="1" applyAlignment="1" applyProtection="1">
      <alignment horizontal="center" vertical="center" wrapText="1"/>
      <protection/>
    </xf>
    <xf numFmtId="10" fontId="39" fillId="0" borderId="13" xfId="0" applyNumberFormat="1" applyFont="1" applyBorder="1" applyAlignment="1" applyProtection="1">
      <alignment horizontal="center" vertical="center" wrapText="1"/>
      <protection/>
    </xf>
    <xf numFmtId="10" fontId="39" fillId="0" borderId="25" xfId="0" applyNumberFormat="1" applyFont="1" applyBorder="1" applyAlignment="1" applyProtection="1">
      <alignment horizontal="center" vertical="center" wrapText="1"/>
      <protection/>
    </xf>
    <xf numFmtId="10" fontId="39" fillId="0" borderId="26" xfId="0" applyNumberFormat="1" applyFont="1" applyBorder="1" applyAlignment="1" applyProtection="1">
      <alignment horizontal="center" vertical="center" wrapText="1"/>
      <protection/>
    </xf>
    <xf numFmtId="10" fontId="39" fillId="0" borderId="27" xfId="0" applyNumberFormat="1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56" xfId="0" applyFont="1" applyBorder="1" applyAlignment="1" applyProtection="1">
      <alignment horizontal="center" vertical="center"/>
      <protection/>
    </xf>
    <xf numFmtId="10" fontId="12" fillId="22" borderId="56" xfId="0" applyNumberFormat="1" applyFont="1" applyFill="1" applyBorder="1" applyAlignment="1" applyProtection="1">
      <alignment horizontal="center" vertical="center"/>
      <protection locked="0"/>
    </xf>
    <xf numFmtId="10" fontId="12" fillId="22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9" fillId="16" borderId="41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45" applyAlignment="1" applyProtection="1">
      <alignment horizontal="center"/>
      <protection/>
    </xf>
    <xf numFmtId="0" fontId="5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53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33" fillId="30" borderId="25" xfId="0" applyFont="1" applyFill="1" applyBorder="1" applyAlignment="1">
      <alignment horizontal="left" vertical="top" wrapText="1"/>
    </xf>
    <xf numFmtId="0" fontId="33" fillId="30" borderId="26" xfId="0" applyFont="1" applyFill="1" applyBorder="1" applyAlignment="1">
      <alignment horizontal="left" vertical="top" wrapText="1"/>
    </xf>
    <xf numFmtId="0" fontId="33" fillId="30" borderId="48" xfId="0" applyFont="1" applyFill="1" applyBorder="1" applyAlignment="1">
      <alignment horizontal="left" vertical="top" wrapText="1"/>
    </xf>
    <xf numFmtId="0" fontId="33" fillId="0" borderId="52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48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horizontal="center" wrapText="1"/>
    </xf>
    <xf numFmtId="0" fontId="12" fillId="16" borderId="29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1" fillId="0" borderId="3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30" borderId="29" xfId="0" applyFont="1" applyFill="1" applyBorder="1" applyAlignment="1">
      <alignment horizontal="left"/>
    </xf>
    <xf numFmtId="0" fontId="12" fillId="30" borderId="21" xfId="0" applyFont="1" applyFill="1" applyBorder="1" applyAlignment="1">
      <alignment horizontal="left"/>
    </xf>
    <xf numFmtId="0" fontId="12" fillId="30" borderId="22" xfId="0" applyFont="1" applyFill="1" applyBorder="1" applyAlignment="1">
      <alignment horizontal="left"/>
    </xf>
    <xf numFmtId="14" fontId="31" fillId="30" borderId="49" xfId="0" applyNumberFormat="1" applyFont="1" applyFill="1" applyBorder="1" applyAlignment="1">
      <alignment horizontal="center" vertical="top" wrapText="1"/>
    </xf>
    <xf numFmtId="0" fontId="31" fillId="30" borderId="51" xfId="0" applyFont="1" applyFill="1" applyBorder="1" applyAlignment="1">
      <alignment horizontal="center" vertical="top" wrapText="1"/>
    </xf>
    <xf numFmtId="0" fontId="31" fillId="30" borderId="60" xfId="0" applyFont="1" applyFill="1" applyBorder="1" applyAlignment="1">
      <alignment horizontal="center" vertical="top" wrapText="1"/>
    </xf>
    <xf numFmtId="0" fontId="31" fillId="30" borderId="61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171" fontId="34" fillId="0" borderId="42" xfId="65" applyFont="1" applyFill="1" applyBorder="1" applyAlignment="1">
      <alignment horizontal="center" vertical="center"/>
    </xf>
    <xf numFmtId="171" fontId="34" fillId="0" borderId="33" xfId="65" applyFont="1" applyFill="1" applyBorder="1" applyAlignment="1">
      <alignment horizontal="center" vertical="center"/>
    </xf>
    <xf numFmtId="0" fontId="9" fillId="31" borderId="49" xfId="0" applyFont="1" applyFill="1" applyBorder="1" applyAlignment="1">
      <alignment horizontal="left" vertical="center" wrapText="1"/>
    </xf>
    <xf numFmtId="0" fontId="9" fillId="31" borderId="14" xfId="0" applyFont="1" applyFill="1" applyBorder="1" applyAlignment="1">
      <alignment horizontal="left" vertical="center" wrapText="1"/>
    </xf>
    <xf numFmtId="0" fontId="9" fillId="31" borderId="35" xfId="0" applyFont="1" applyFill="1" applyBorder="1" applyAlignment="1">
      <alignment horizontal="left" vertical="center" wrapText="1"/>
    </xf>
    <xf numFmtId="0" fontId="9" fillId="31" borderId="60" xfId="0" applyFont="1" applyFill="1" applyBorder="1" applyAlignment="1">
      <alignment horizontal="left" vertical="center" wrapText="1"/>
    </xf>
    <xf numFmtId="0" fontId="9" fillId="31" borderId="23" xfId="0" applyFont="1" applyFill="1" applyBorder="1" applyAlignment="1">
      <alignment horizontal="left" vertical="center" wrapText="1"/>
    </xf>
    <xf numFmtId="0" fontId="9" fillId="31" borderId="38" xfId="0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38</xdr:row>
      <xdr:rowOff>66675</xdr:rowOff>
    </xdr:from>
    <xdr:to>
      <xdr:col>13</xdr:col>
      <xdr:colOff>466725</xdr:colOff>
      <xdr:row>42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26757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37</xdr:row>
      <xdr:rowOff>38100</xdr:rowOff>
    </xdr:from>
    <xdr:to>
      <xdr:col>13</xdr:col>
      <xdr:colOff>257175</xdr:colOff>
      <xdr:row>38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69913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m-server\Plano_Diretor\CONVENIOS_SICONV\CONV&#202;NIOS\ESTADO%20DE%20SANTA%20CATARINA\2013\FUNDAM\Projetos%20de%20Pavimenta&#231;&#227;o\PAVIMENTA&#199;&#195;O%20COM%20PEDRA%20IRREGULAR\Planilha-A1_Orcamento%20Asf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m-server\Plano_Diretor\Users\Pedro\Desktop\Documents\Downloads\BDI%20%20ipumirim%20desonerado%2021,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fer&#234;ncia%20Chiatec%20(SINAPI%2006-2023%20E%20SICRO%2001-202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fer&#234;ncia%201.9%20(SINAPI%2010-2023%20E%20SICRO%2007-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</sheetNames>
    <sheetDataSet>
      <sheetData sheetId="0">
        <row r="12">
          <cell r="A12" t="str">
            <v>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3">
        <row r="57">
          <cell r="E57" t="str">
            <v>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3">
        <row r="52">
          <cell r="D52" t="str">
            <v>PEDRA BRITADA N. 2 (19 A 38 MM) POSTO PEDREIRA/FORNECEDOR, SEM FRETE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70" zoomScaleNormal="70" zoomScalePageLayoutView="0" workbookViewId="0" topLeftCell="A1">
      <pane xSplit="11" ySplit="10" topLeftCell="O11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21" sqref="D21"/>
    </sheetView>
  </sheetViews>
  <sheetFormatPr defaultColWidth="9.140625" defaultRowHeight="12.75"/>
  <cols>
    <col min="1" max="1" width="7.28125" style="233" customWidth="1"/>
    <col min="2" max="2" width="7.28125" style="0" customWidth="1"/>
    <col min="3" max="3" width="11.00390625" style="0" customWidth="1"/>
    <col min="4" max="4" width="52.7109375" style="135" customWidth="1"/>
    <col min="5" max="5" width="6.28125" style="0" customWidth="1"/>
    <col min="6" max="6" width="11.8515625" style="200" customWidth="1"/>
    <col min="7" max="7" width="10.57421875" style="0" hidden="1" customWidth="1"/>
    <col min="8" max="8" width="10.57421875" style="0" customWidth="1"/>
    <col min="9" max="9" width="11.28125" style="0" customWidth="1"/>
    <col min="10" max="10" width="11.28125" style="16" customWidth="1"/>
    <col min="11" max="11" width="18.57421875" style="16" customWidth="1"/>
    <col min="12" max="12" width="5.57421875" style="140" customWidth="1"/>
  </cols>
  <sheetData>
    <row r="1" spans="1:11" ht="18">
      <c r="A1" s="257" t="s">
        <v>60</v>
      </c>
      <c r="B1" s="257"/>
      <c r="C1" s="257"/>
      <c r="D1" s="257"/>
      <c r="E1" s="257"/>
      <c r="F1" s="257"/>
      <c r="G1" s="257"/>
      <c r="H1" s="257"/>
      <c r="I1" s="257"/>
      <c r="J1" s="13"/>
      <c r="K1" s="204" t="s">
        <v>7</v>
      </c>
    </row>
    <row r="2" spans="1:11" ht="13.5" customHeight="1">
      <c r="A2" s="258" t="s">
        <v>80</v>
      </c>
      <c r="B2" s="259"/>
      <c r="C2" s="259"/>
      <c r="D2" s="259"/>
      <c r="E2" s="259"/>
      <c r="F2" s="259"/>
      <c r="G2" s="259"/>
      <c r="H2" s="259"/>
      <c r="I2" s="260"/>
      <c r="J2" s="9"/>
      <c r="K2" s="2"/>
    </row>
    <row r="3" spans="1:11" ht="12.75" customHeight="1">
      <c r="A3" s="261"/>
      <c r="B3" s="262"/>
      <c r="C3" s="262"/>
      <c r="D3" s="262"/>
      <c r="E3" s="262"/>
      <c r="F3" s="262"/>
      <c r="G3" s="262"/>
      <c r="H3" s="262"/>
      <c r="I3" s="263"/>
      <c r="J3" s="10"/>
      <c r="K3" s="15"/>
    </row>
    <row r="4" spans="1:11" ht="14.25" customHeight="1">
      <c r="A4" s="264" t="s">
        <v>5</v>
      </c>
      <c r="B4" s="265"/>
      <c r="C4" s="265"/>
      <c r="D4" s="268" t="s">
        <v>184</v>
      </c>
      <c r="E4" s="268"/>
      <c r="F4" s="268"/>
      <c r="G4" s="268"/>
      <c r="H4" s="268"/>
      <c r="I4" s="269"/>
      <c r="J4" s="8"/>
      <c r="K4" s="2" t="s">
        <v>9</v>
      </c>
    </row>
    <row r="5" spans="1:11" ht="18">
      <c r="A5" s="266"/>
      <c r="B5" s="267"/>
      <c r="C5" s="267"/>
      <c r="D5" s="270"/>
      <c r="E5" s="270"/>
      <c r="F5" s="270"/>
      <c r="G5" s="270"/>
      <c r="H5" s="270"/>
      <c r="I5" s="271"/>
      <c r="J5" s="14"/>
      <c r="K5" s="3" t="s">
        <v>204</v>
      </c>
    </row>
    <row r="6" spans="1:11" ht="15.75" customHeight="1">
      <c r="A6" s="272" t="s">
        <v>8</v>
      </c>
      <c r="B6" s="273"/>
      <c r="C6" s="274"/>
      <c r="D6" s="275" t="s">
        <v>151</v>
      </c>
      <c r="E6" s="276"/>
      <c r="F6" s="276"/>
      <c r="G6" s="276"/>
      <c r="H6" s="276"/>
      <c r="I6" s="276"/>
      <c r="J6" s="276"/>
      <c r="K6" s="277"/>
    </row>
    <row r="7" spans="1:11" ht="15.75">
      <c r="A7" s="278" t="s">
        <v>230</v>
      </c>
      <c r="B7" s="279"/>
      <c r="C7" s="280"/>
      <c r="D7" s="280"/>
      <c r="E7" s="280"/>
      <c r="F7" s="280"/>
      <c r="G7" s="280"/>
      <c r="H7" s="280"/>
      <c r="I7" s="280"/>
      <c r="J7" s="281"/>
      <c r="K7" s="282"/>
    </row>
    <row r="8" spans="1:11" ht="10.5" customHeight="1" thickBot="1">
      <c r="A8" s="221"/>
      <c r="B8" s="6"/>
      <c r="C8" s="6"/>
      <c r="D8" s="10"/>
      <c r="E8" s="6"/>
      <c r="F8" s="199"/>
      <c r="G8" s="6"/>
      <c r="H8" s="6"/>
      <c r="I8" s="6"/>
      <c r="J8" s="6"/>
      <c r="K8" s="7"/>
    </row>
    <row r="9" spans="1:11" ht="21" customHeight="1">
      <c r="A9" s="283" t="s">
        <v>0</v>
      </c>
      <c r="B9" s="285" t="s">
        <v>235</v>
      </c>
      <c r="C9" s="287" t="s">
        <v>88</v>
      </c>
      <c r="D9" s="287" t="s">
        <v>1</v>
      </c>
      <c r="E9" s="287" t="s">
        <v>2</v>
      </c>
      <c r="F9" s="287" t="s">
        <v>3</v>
      </c>
      <c r="G9" s="287" t="s">
        <v>6</v>
      </c>
      <c r="H9" s="287" t="s">
        <v>6</v>
      </c>
      <c r="I9" s="287" t="s">
        <v>10</v>
      </c>
      <c r="J9" s="287" t="s">
        <v>12</v>
      </c>
      <c r="K9" s="290" t="s">
        <v>245</v>
      </c>
    </row>
    <row r="10" spans="1:11" ht="20.25" customHeight="1">
      <c r="A10" s="284"/>
      <c r="B10" s="286"/>
      <c r="C10" s="288"/>
      <c r="D10" s="288"/>
      <c r="E10" s="288"/>
      <c r="F10" s="288"/>
      <c r="G10" s="288"/>
      <c r="H10" s="288"/>
      <c r="I10" s="288"/>
      <c r="J10" s="288"/>
      <c r="K10" s="291"/>
    </row>
    <row r="11" spans="1:11" ht="20.25" customHeight="1">
      <c r="A11" s="222" t="s">
        <v>13</v>
      </c>
      <c r="B11" s="205"/>
      <c r="C11" s="51"/>
      <c r="D11" s="130" t="s">
        <v>79</v>
      </c>
      <c r="E11" s="61"/>
      <c r="F11" s="62"/>
      <c r="G11" s="17"/>
      <c r="H11" s="17"/>
      <c r="I11" s="63"/>
      <c r="J11" s="64"/>
      <c r="K11" s="65"/>
    </row>
    <row r="12" spans="1:12" ht="20.25" customHeight="1">
      <c r="A12" s="223" t="s">
        <v>43</v>
      </c>
      <c r="B12" s="206" t="s">
        <v>231</v>
      </c>
      <c r="C12" s="66">
        <v>4813</v>
      </c>
      <c r="D12" s="53" t="s">
        <v>66</v>
      </c>
      <c r="E12" s="42" t="s">
        <v>15</v>
      </c>
      <c r="F12" s="67">
        <v>2.88</v>
      </c>
      <c r="G12" s="89"/>
      <c r="H12" s="44">
        <v>250</v>
      </c>
      <c r="I12" s="101">
        <v>0.2564</v>
      </c>
      <c r="J12" s="64">
        <f>H12+H12*I12</f>
        <v>314.1</v>
      </c>
      <c r="K12" s="91">
        <f>J12*F12</f>
        <v>904.6080000000001</v>
      </c>
      <c r="L12" s="150"/>
    </row>
    <row r="13" spans="1:12" ht="20.25" customHeight="1">
      <c r="A13" s="223" t="s">
        <v>81</v>
      </c>
      <c r="B13" s="207" t="s">
        <v>231</v>
      </c>
      <c r="C13" s="100">
        <v>99064</v>
      </c>
      <c r="D13" s="90" t="s">
        <v>82</v>
      </c>
      <c r="E13" s="49" t="s">
        <v>14</v>
      </c>
      <c r="F13" s="67">
        <v>161.11</v>
      </c>
      <c r="G13" s="89"/>
      <c r="H13" s="44">
        <v>0.41</v>
      </c>
      <c r="I13" s="101">
        <v>0.2564</v>
      </c>
      <c r="J13" s="64">
        <f>ROUND(H13*(1+I13),2)</f>
        <v>0.52</v>
      </c>
      <c r="K13" s="91">
        <f>J13*F13</f>
        <v>83.77720000000001</v>
      </c>
      <c r="L13" s="150"/>
    </row>
    <row r="14" spans="1:11" ht="20.25" customHeight="1">
      <c r="A14" s="223"/>
      <c r="B14" s="207"/>
      <c r="C14" s="49"/>
      <c r="D14" s="131" t="s">
        <v>16</v>
      </c>
      <c r="E14" s="55"/>
      <c r="F14" s="69"/>
      <c r="G14" s="70"/>
      <c r="H14" s="153"/>
      <c r="I14" s="72"/>
      <c r="J14" s="73"/>
      <c r="K14" s="74">
        <f>SUM(K12:K13)</f>
        <v>988.3852</v>
      </c>
    </row>
    <row r="15" spans="1:11" ht="3" customHeight="1">
      <c r="A15" s="224"/>
      <c r="B15" s="76"/>
      <c r="C15" s="76"/>
      <c r="D15" s="132"/>
      <c r="E15" s="76"/>
      <c r="F15" s="77"/>
      <c r="G15" s="76"/>
      <c r="H15" s="154"/>
      <c r="I15" s="63"/>
      <c r="J15" s="78"/>
      <c r="K15" s="79"/>
    </row>
    <row r="16" spans="1:11" ht="20.25" customHeight="1">
      <c r="A16" s="222" t="s">
        <v>17</v>
      </c>
      <c r="B16" s="205"/>
      <c r="C16" s="49"/>
      <c r="D16" s="130" t="s">
        <v>71</v>
      </c>
      <c r="E16" s="80"/>
      <c r="F16" s="81"/>
      <c r="G16" s="80"/>
      <c r="H16" s="155"/>
      <c r="I16" s="63"/>
      <c r="J16" s="78"/>
      <c r="K16" s="82"/>
    </row>
    <row r="17" spans="1:12" s="135" customFormat="1" ht="27" customHeight="1">
      <c r="A17" s="225" t="s">
        <v>44</v>
      </c>
      <c r="B17" s="208" t="s">
        <v>231</v>
      </c>
      <c r="C17" s="137">
        <v>101114</v>
      </c>
      <c r="D17" s="53" t="s">
        <v>154</v>
      </c>
      <c r="E17" s="53" t="s">
        <v>18</v>
      </c>
      <c r="F17" s="138">
        <v>167</v>
      </c>
      <c r="G17" s="139"/>
      <c r="H17" s="157">
        <v>4.13</v>
      </c>
      <c r="I17" s="101">
        <v>0.2564</v>
      </c>
      <c r="J17" s="64">
        <f aca="true" t="shared" si="0" ref="J17:J22">H17+H17*I17</f>
        <v>5.188931999999999</v>
      </c>
      <c r="K17" s="91">
        <f aca="true" t="shared" si="1" ref="K17:K22">J17*F17</f>
        <v>866.5516439999999</v>
      </c>
      <c r="L17" s="170"/>
    </row>
    <row r="18" spans="1:12" ht="27" customHeight="1">
      <c r="A18" s="223" t="s">
        <v>45</v>
      </c>
      <c r="B18" s="206" t="s">
        <v>231</v>
      </c>
      <c r="C18" s="100">
        <v>100575</v>
      </c>
      <c r="D18" s="53" t="s">
        <v>155</v>
      </c>
      <c r="E18" s="42" t="s">
        <v>21</v>
      </c>
      <c r="F18" s="67">
        <v>1449</v>
      </c>
      <c r="G18" s="89"/>
      <c r="H18" s="44">
        <v>0.12</v>
      </c>
      <c r="I18" s="101">
        <v>0.2564</v>
      </c>
      <c r="J18" s="64">
        <f t="shared" si="0"/>
        <v>0.15076799999999999</v>
      </c>
      <c r="K18" s="91">
        <f t="shared" si="1"/>
        <v>218.462832</v>
      </c>
      <c r="L18" s="150"/>
    </row>
    <row r="19" spans="1:12" ht="20.25" customHeight="1">
      <c r="A19" s="223" t="s">
        <v>46</v>
      </c>
      <c r="B19" s="206" t="s">
        <v>232</v>
      </c>
      <c r="C19" s="42">
        <v>5502978</v>
      </c>
      <c r="D19" s="53" t="s">
        <v>73</v>
      </c>
      <c r="E19" s="42" t="s">
        <v>18</v>
      </c>
      <c r="F19" s="67">
        <v>167</v>
      </c>
      <c r="G19" s="89"/>
      <c r="H19" s="44">
        <v>4.8</v>
      </c>
      <c r="I19" s="101">
        <v>0.2564</v>
      </c>
      <c r="J19" s="64">
        <f t="shared" si="0"/>
        <v>6.03072</v>
      </c>
      <c r="K19" s="91">
        <f t="shared" si="1"/>
        <v>1007.13024</v>
      </c>
      <c r="L19" s="150"/>
    </row>
    <row r="20" spans="1:12" s="135" customFormat="1" ht="36">
      <c r="A20" s="225" t="s">
        <v>47</v>
      </c>
      <c r="B20" s="208" t="s">
        <v>232</v>
      </c>
      <c r="C20" s="53">
        <v>5915407</v>
      </c>
      <c r="D20" s="53" t="s">
        <v>156</v>
      </c>
      <c r="E20" s="53" t="s">
        <v>157</v>
      </c>
      <c r="F20" s="138">
        <f>658*1.65</f>
        <v>1085.7</v>
      </c>
      <c r="G20" s="139"/>
      <c r="H20" s="157">
        <v>2.63</v>
      </c>
      <c r="I20" s="101">
        <v>0.2564</v>
      </c>
      <c r="J20" s="64">
        <f t="shared" si="0"/>
        <v>3.304332</v>
      </c>
      <c r="K20" s="91">
        <f t="shared" si="1"/>
        <v>3587.5132524</v>
      </c>
      <c r="L20" s="170"/>
    </row>
    <row r="21" spans="1:12" s="135" customFormat="1" ht="34.5" customHeight="1">
      <c r="A21" s="225" t="s">
        <v>158</v>
      </c>
      <c r="B21" s="208" t="s">
        <v>231</v>
      </c>
      <c r="C21" s="53">
        <v>101132</v>
      </c>
      <c r="D21" s="53" t="s">
        <v>159</v>
      </c>
      <c r="E21" s="53" t="s">
        <v>41</v>
      </c>
      <c r="F21" s="138">
        <v>5</v>
      </c>
      <c r="G21" s="139"/>
      <c r="H21" s="157">
        <v>16.81</v>
      </c>
      <c r="I21" s="101">
        <v>0.2564</v>
      </c>
      <c r="J21" s="64">
        <f t="shared" si="0"/>
        <v>21.120084</v>
      </c>
      <c r="K21" s="91">
        <f t="shared" si="1"/>
        <v>105.60041999999999</v>
      </c>
      <c r="L21" s="170"/>
    </row>
    <row r="22" spans="1:12" ht="36">
      <c r="A22" s="223" t="s">
        <v>160</v>
      </c>
      <c r="B22" s="206" t="s">
        <v>231</v>
      </c>
      <c r="C22" s="42">
        <v>102354</v>
      </c>
      <c r="D22" s="53" t="s">
        <v>161</v>
      </c>
      <c r="E22" s="42" t="s">
        <v>41</v>
      </c>
      <c r="F22" s="67">
        <v>5</v>
      </c>
      <c r="G22" s="89"/>
      <c r="H22" s="44">
        <v>141.63</v>
      </c>
      <c r="I22" s="101">
        <v>0.2564</v>
      </c>
      <c r="J22" s="64">
        <f t="shared" si="0"/>
        <v>177.943932</v>
      </c>
      <c r="K22" s="91">
        <f t="shared" si="1"/>
        <v>889.71966</v>
      </c>
      <c r="L22" s="150"/>
    </row>
    <row r="23" spans="1:11" ht="20.25" customHeight="1">
      <c r="A23" s="223"/>
      <c r="B23" s="209"/>
      <c r="C23" s="38"/>
      <c r="D23" s="131" t="s">
        <v>16</v>
      </c>
      <c r="E23" s="55"/>
      <c r="F23" s="69"/>
      <c r="G23" s="70"/>
      <c r="H23" s="165"/>
      <c r="I23" s="72"/>
      <c r="J23" s="73"/>
      <c r="K23" s="74">
        <f>SUM(K17:K22)</f>
        <v>6674.978048399999</v>
      </c>
    </row>
    <row r="24" spans="1:11" ht="3" customHeight="1">
      <c r="A24" s="224"/>
      <c r="B24" s="84"/>
      <c r="C24" s="84"/>
      <c r="D24" s="133"/>
      <c r="E24" s="84"/>
      <c r="F24" s="77"/>
      <c r="G24" s="84"/>
      <c r="H24" s="166"/>
      <c r="I24" s="63"/>
      <c r="J24" s="78"/>
      <c r="K24" s="79"/>
    </row>
    <row r="25" spans="1:11" ht="20.25" customHeight="1">
      <c r="A25" s="222" t="s">
        <v>42</v>
      </c>
      <c r="B25" s="205"/>
      <c r="C25" s="38"/>
      <c r="D25" s="134" t="s">
        <v>40</v>
      </c>
      <c r="E25" s="38"/>
      <c r="F25" s="85"/>
      <c r="G25" s="17"/>
      <c r="H25" s="167"/>
      <c r="I25" s="63"/>
      <c r="J25" s="64"/>
      <c r="K25" s="68">
        <f aca="true" t="shared" si="2" ref="K25:K35">J25*F25</f>
        <v>0</v>
      </c>
    </row>
    <row r="26" spans="1:12" ht="48">
      <c r="A26" s="223" t="s">
        <v>48</v>
      </c>
      <c r="B26" s="206" t="s">
        <v>231</v>
      </c>
      <c r="C26" s="42">
        <v>102314</v>
      </c>
      <c r="D26" s="53" t="s">
        <v>162</v>
      </c>
      <c r="E26" s="42" t="s">
        <v>41</v>
      </c>
      <c r="F26" s="67">
        <v>295.66</v>
      </c>
      <c r="G26" s="17"/>
      <c r="H26" s="44">
        <v>8.16</v>
      </c>
      <c r="I26" s="101">
        <v>0.2564</v>
      </c>
      <c r="J26" s="64">
        <f aca="true" t="shared" si="3" ref="J26:J35">H26+H26*I26</f>
        <v>10.252224</v>
      </c>
      <c r="K26" s="68">
        <f t="shared" si="2"/>
        <v>3031.1725478400003</v>
      </c>
      <c r="L26" s="150"/>
    </row>
    <row r="27" spans="1:12" ht="20.25" customHeight="1">
      <c r="A27" s="223" t="s">
        <v>49</v>
      </c>
      <c r="B27" s="206" t="s">
        <v>231</v>
      </c>
      <c r="C27" s="42">
        <v>93377</v>
      </c>
      <c r="D27" s="53" t="s">
        <v>74</v>
      </c>
      <c r="E27" s="42" t="s">
        <v>18</v>
      </c>
      <c r="F27" s="67">
        <v>219.54</v>
      </c>
      <c r="G27" s="43"/>
      <c r="H27" s="44">
        <v>10.57</v>
      </c>
      <c r="I27" s="101">
        <v>0.2564</v>
      </c>
      <c r="J27" s="64">
        <f t="shared" si="3"/>
        <v>13.280148</v>
      </c>
      <c r="K27" s="68">
        <f t="shared" si="2"/>
        <v>2915.52369192</v>
      </c>
      <c r="L27" s="150"/>
    </row>
    <row r="28" spans="1:12" ht="27" customHeight="1">
      <c r="A28" s="223" t="s">
        <v>50</v>
      </c>
      <c r="B28" s="206" t="s">
        <v>232</v>
      </c>
      <c r="C28" s="42">
        <v>4805754</v>
      </c>
      <c r="D28" s="53" t="s">
        <v>76</v>
      </c>
      <c r="E28" s="42" t="s">
        <v>18</v>
      </c>
      <c r="F28" s="67">
        <v>219.54</v>
      </c>
      <c r="G28" s="43"/>
      <c r="H28" s="44">
        <v>6.45</v>
      </c>
      <c r="I28" s="101">
        <v>0.2564</v>
      </c>
      <c r="J28" s="64">
        <f t="shared" si="3"/>
        <v>8.10378</v>
      </c>
      <c r="K28" s="68">
        <f t="shared" si="2"/>
        <v>1779.1038612</v>
      </c>
      <c r="L28" s="150"/>
    </row>
    <row r="29" spans="1:12" ht="38.25" customHeight="1">
      <c r="A29" s="223" t="s">
        <v>51</v>
      </c>
      <c r="B29" s="206" t="s">
        <v>232</v>
      </c>
      <c r="C29" s="53">
        <v>2003623</v>
      </c>
      <c r="D29" s="53" t="s">
        <v>163</v>
      </c>
      <c r="E29" s="45" t="s">
        <v>20</v>
      </c>
      <c r="F29" s="67">
        <v>4</v>
      </c>
      <c r="G29" s="43"/>
      <c r="H29" s="44">
        <v>2561.2</v>
      </c>
      <c r="I29" s="101">
        <v>0.2564</v>
      </c>
      <c r="J29" s="64">
        <f t="shared" si="3"/>
        <v>3217.8916799999997</v>
      </c>
      <c r="K29" s="68">
        <f t="shared" si="2"/>
        <v>12871.566719999999</v>
      </c>
      <c r="L29" s="150"/>
    </row>
    <row r="30" spans="1:12" s="193" customFormat="1" ht="38.25" customHeight="1">
      <c r="A30" s="223" t="s">
        <v>75</v>
      </c>
      <c r="B30" s="210" t="s">
        <v>231</v>
      </c>
      <c r="C30" s="194">
        <v>40334</v>
      </c>
      <c r="D30" s="194" t="s">
        <v>168</v>
      </c>
      <c r="E30" s="195" t="s">
        <v>14</v>
      </c>
      <c r="F30" s="186">
        <v>0</v>
      </c>
      <c r="G30" s="187"/>
      <c r="H30" s="188">
        <v>98.43</v>
      </c>
      <c r="I30" s="189">
        <v>0.2564</v>
      </c>
      <c r="J30" s="190">
        <f t="shared" si="3"/>
        <v>123.66745200000001</v>
      </c>
      <c r="K30" s="191">
        <f t="shared" si="2"/>
        <v>0</v>
      </c>
      <c r="L30" s="192"/>
    </row>
    <row r="31" spans="1:12" s="193" customFormat="1" ht="50.25" customHeight="1">
      <c r="A31" s="223" t="s">
        <v>83</v>
      </c>
      <c r="B31" s="210" t="s">
        <v>231</v>
      </c>
      <c r="C31" s="185">
        <v>7761</v>
      </c>
      <c r="D31" s="194" t="s">
        <v>167</v>
      </c>
      <c r="E31" s="195" t="s">
        <v>14</v>
      </c>
      <c r="F31" s="186">
        <v>0</v>
      </c>
      <c r="G31" s="187"/>
      <c r="H31" s="188">
        <v>117.39</v>
      </c>
      <c r="I31" s="189">
        <v>0.2564</v>
      </c>
      <c r="J31" s="190">
        <f t="shared" si="3"/>
        <v>147.488796</v>
      </c>
      <c r="K31" s="191">
        <f t="shared" si="2"/>
        <v>0</v>
      </c>
      <c r="L31" s="203"/>
    </row>
    <row r="32" spans="1:12" s="193" customFormat="1" ht="50.25" customHeight="1">
      <c r="A32" s="223" t="s">
        <v>164</v>
      </c>
      <c r="B32" s="210" t="s">
        <v>231</v>
      </c>
      <c r="C32" s="185">
        <v>7752</v>
      </c>
      <c r="D32" s="194" t="s">
        <v>169</v>
      </c>
      <c r="E32" s="195" t="s">
        <v>14</v>
      </c>
      <c r="F32" s="186">
        <f>25-25</f>
        <v>0</v>
      </c>
      <c r="G32" s="187"/>
      <c r="H32" s="188">
        <v>142.68</v>
      </c>
      <c r="I32" s="189">
        <v>0.2564</v>
      </c>
      <c r="J32" s="190">
        <f t="shared" si="3"/>
        <v>179.26315200000002</v>
      </c>
      <c r="K32" s="191">
        <f t="shared" si="2"/>
        <v>0</v>
      </c>
      <c r="L32" s="192"/>
    </row>
    <row r="33" spans="1:12" s="182" customFormat="1" ht="50.25" customHeight="1">
      <c r="A33" s="223" t="s">
        <v>165</v>
      </c>
      <c r="B33" s="211" t="s">
        <v>231</v>
      </c>
      <c r="C33" s="174">
        <v>7785</v>
      </c>
      <c r="D33" s="196" t="s">
        <v>185</v>
      </c>
      <c r="E33" s="197" t="s">
        <v>14</v>
      </c>
      <c r="F33" s="198">
        <f>73+36</f>
        <v>109</v>
      </c>
      <c r="G33" s="176"/>
      <c r="H33" s="177">
        <v>50.59</v>
      </c>
      <c r="I33" s="178">
        <v>0.2564</v>
      </c>
      <c r="J33" s="179">
        <f t="shared" si="3"/>
        <v>63.56127600000001</v>
      </c>
      <c r="K33" s="180">
        <f t="shared" si="2"/>
        <v>6928.179084</v>
      </c>
      <c r="L33" s="181"/>
    </row>
    <row r="34" spans="1:12" s="182" customFormat="1" ht="50.25" customHeight="1">
      <c r="A34" s="223" t="s">
        <v>166</v>
      </c>
      <c r="B34" s="211" t="s">
        <v>231</v>
      </c>
      <c r="C34" s="174">
        <v>7792</v>
      </c>
      <c r="D34" s="196" t="s">
        <v>186</v>
      </c>
      <c r="E34" s="197" t="s">
        <v>14</v>
      </c>
      <c r="F34" s="175">
        <f>23+25</f>
        <v>48</v>
      </c>
      <c r="G34" s="176"/>
      <c r="H34" s="177">
        <v>71.75</v>
      </c>
      <c r="I34" s="178">
        <v>0.2564</v>
      </c>
      <c r="J34" s="179">
        <f t="shared" si="3"/>
        <v>90.14670000000001</v>
      </c>
      <c r="K34" s="180">
        <f t="shared" si="2"/>
        <v>4327.0416000000005</v>
      </c>
      <c r="L34" s="181"/>
    </row>
    <row r="35" spans="1:12" ht="30.75" customHeight="1">
      <c r="A35" s="223" t="s">
        <v>170</v>
      </c>
      <c r="B35" s="206" t="s">
        <v>233</v>
      </c>
      <c r="C35" s="42" t="s">
        <v>234</v>
      </c>
      <c r="D35" s="53" t="s">
        <v>183</v>
      </c>
      <c r="E35" s="45" t="s">
        <v>20</v>
      </c>
      <c r="F35" s="67">
        <v>4</v>
      </c>
      <c r="G35" s="43"/>
      <c r="H35" s="44">
        <f>Composição!H6</f>
        <v>1206.4608</v>
      </c>
      <c r="I35" s="101">
        <v>0.2564</v>
      </c>
      <c r="J35" s="64">
        <f t="shared" si="3"/>
        <v>1515.79734912</v>
      </c>
      <c r="K35" s="68">
        <f t="shared" si="2"/>
        <v>6063.18939648</v>
      </c>
      <c r="L35" s="150"/>
    </row>
    <row r="36" spans="1:11" ht="37.5" customHeight="1">
      <c r="A36" s="223"/>
      <c r="B36" s="207"/>
      <c r="C36" s="38"/>
      <c r="D36" s="131" t="s">
        <v>16</v>
      </c>
      <c r="E36" s="55"/>
      <c r="F36" s="69"/>
      <c r="G36" s="70"/>
      <c r="H36" s="165"/>
      <c r="I36" s="72"/>
      <c r="J36" s="73"/>
      <c r="K36" s="86">
        <f>SUM(K26:K35)</f>
        <v>37915.77690144</v>
      </c>
    </row>
    <row r="37" spans="1:11" ht="4.5" customHeight="1">
      <c r="A37" s="223"/>
      <c r="B37" s="207"/>
      <c r="C37" s="38"/>
      <c r="D37" s="131"/>
      <c r="E37" s="55"/>
      <c r="F37" s="69"/>
      <c r="G37" s="70"/>
      <c r="H37" s="165"/>
      <c r="I37" s="72"/>
      <c r="J37" s="73"/>
      <c r="K37" s="86"/>
    </row>
    <row r="38" spans="1:11" ht="20.25" customHeight="1">
      <c r="A38" s="222" t="s">
        <v>19</v>
      </c>
      <c r="B38" s="205"/>
      <c r="C38" s="38"/>
      <c r="D38" s="134" t="s">
        <v>38</v>
      </c>
      <c r="E38" s="38"/>
      <c r="F38" s="67"/>
      <c r="G38" s="17"/>
      <c r="H38" s="167"/>
      <c r="I38" s="63"/>
      <c r="J38" s="64"/>
      <c r="K38" s="68"/>
    </row>
    <row r="39" spans="1:12" ht="20.25" customHeight="1">
      <c r="A39" s="223" t="s">
        <v>52</v>
      </c>
      <c r="B39" s="206" t="s">
        <v>231</v>
      </c>
      <c r="C39" s="42">
        <v>100576</v>
      </c>
      <c r="D39" s="53" t="s">
        <v>67</v>
      </c>
      <c r="E39" s="42" t="s">
        <v>15</v>
      </c>
      <c r="F39" s="67">
        <v>1288</v>
      </c>
      <c r="G39" s="43"/>
      <c r="H39" s="44">
        <v>2.24</v>
      </c>
      <c r="I39" s="101">
        <v>0.2564</v>
      </c>
      <c r="J39" s="64">
        <f aca="true" t="shared" si="4" ref="J39:J51">H39+H39*I39</f>
        <v>2.8143360000000004</v>
      </c>
      <c r="K39" s="68">
        <f aca="true" t="shared" si="5" ref="K39:K53">J39*F39</f>
        <v>3624.8647680000004</v>
      </c>
      <c r="L39" s="150"/>
    </row>
    <row r="40" spans="1:12" ht="20.25" customHeight="1">
      <c r="A40" s="223" t="s">
        <v>53</v>
      </c>
      <c r="B40" s="206" t="s">
        <v>231</v>
      </c>
      <c r="C40" s="42">
        <v>96396</v>
      </c>
      <c r="D40" s="53" t="s">
        <v>197</v>
      </c>
      <c r="E40" s="42" t="s">
        <v>18</v>
      </c>
      <c r="F40" s="67">
        <v>217</v>
      </c>
      <c r="G40" s="43"/>
      <c r="H40" s="44">
        <v>176.96</v>
      </c>
      <c r="I40" s="101">
        <v>0.2564</v>
      </c>
      <c r="J40" s="64">
        <f t="shared" si="4"/>
        <v>222.332544</v>
      </c>
      <c r="K40" s="68">
        <f t="shared" si="5"/>
        <v>48246.162048000006</v>
      </c>
      <c r="L40" s="150"/>
    </row>
    <row r="41" spans="1:12" ht="37.5" customHeight="1">
      <c r="A41" s="223" t="s">
        <v>54</v>
      </c>
      <c r="B41" s="206" t="s">
        <v>231</v>
      </c>
      <c r="C41" s="42">
        <v>93593</v>
      </c>
      <c r="D41" s="53" t="s">
        <v>187</v>
      </c>
      <c r="E41" s="42" t="s">
        <v>68</v>
      </c>
      <c r="F41" s="67">
        <f>F40*26</f>
        <v>5642</v>
      </c>
      <c r="G41" s="43"/>
      <c r="H41" s="44">
        <v>0.81</v>
      </c>
      <c r="I41" s="101">
        <v>0.2564</v>
      </c>
      <c r="J41" s="64">
        <f t="shared" si="4"/>
        <v>1.017684</v>
      </c>
      <c r="K41" s="68">
        <f t="shared" si="5"/>
        <v>5741.773128</v>
      </c>
      <c r="L41" s="150"/>
    </row>
    <row r="42" spans="1:12" ht="41.25" customHeight="1">
      <c r="A42" s="223" t="s">
        <v>55</v>
      </c>
      <c r="B42" s="206" t="s">
        <v>231</v>
      </c>
      <c r="C42" s="42">
        <v>100974</v>
      </c>
      <c r="D42" s="53" t="s">
        <v>199</v>
      </c>
      <c r="E42" s="42" t="s">
        <v>18</v>
      </c>
      <c r="F42" s="67">
        <f>217*2</f>
        <v>434</v>
      </c>
      <c r="G42" s="43"/>
      <c r="H42" s="44">
        <v>8.32</v>
      </c>
      <c r="I42" s="101">
        <v>0.2564</v>
      </c>
      <c r="J42" s="64">
        <f t="shared" si="4"/>
        <v>10.453248</v>
      </c>
      <c r="K42" s="68">
        <f t="shared" si="5"/>
        <v>4536.709632</v>
      </c>
      <c r="L42" s="150"/>
    </row>
    <row r="43" spans="1:12" ht="25.5" customHeight="1">
      <c r="A43" s="223" t="s">
        <v>56</v>
      </c>
      <c r="B43" s="206" t="s">
        <v>231</v>
      </c>
      <c r="C43" s="42">
        <v>96396</v>
      </c>
      <c r="D43" s="53" t="s">
        <v>198</v>
      </c>
      <c r="E43" s="42" t="s">
        <v>18</v>
      </c>
      <c r="F43" s="67">
        <v>217</v>
      </c>
      <c r="G43" s="43"/>
      <c r="H43" s="44">
        <v>176.96</v>
      </c>
      <c r="I43" s="101">
        <v>0.2564</v>
      </c>
      <c r="J43" s="64">
        <f t="shared" si="4"/>
        <v>222.332544</v>
      </c>
      <c r="K43" s="68">
        <f t="shared" si="5"/>
        <v>48246.162048000006</v>
      </c>
      <c r="L43" s="150"/>
    </row>
    <row r="44" spans="1:12" ht="20.25" customHeight="1">
      <c r="A44" s="223" t="s">
        <v>57</v>
      </c>
      <c r="B44" s="206" t="s">
        <v>231</v>
      </c>
      <c r="C44" s="42">
        <v>100974</v>
      </c>
      <c r="D44" s="53" t="s">
        <v>196</v>
      </c>
      <c r="E44" s="42" t="s">
        <v>18</v>
      </c>
      <c r="F44" s="67">
        <f>F43*26</f>
        <v>5642</v>
      </c>
      <c r="G44" s="43"/>
      <c r="H44" s="44">
        <v>8.32</v>
      </c>
      <c r="I44" s="101">
        <v>0.2564</v>
      </c>
      <c r="J44" s="64">
        <f t="shared" si="4"/>
        <v>10.453248</v>
      </c>
      <c r="K44" s="68">
        <f t="shared" si="5"/>
        <v>58977.225216</v>
      </c>
      <c r="L44" s="150"/>
    </row>
    <row r="45" spans="1:12" s="16" customFormat="1" ht="28.5" customHeight="1">
      <c r="A45" s="223" t="s">
        <v>62</v>
      </c>
      <c r="B45" s="206" t="s">
        <v>231</v>
      </c>
      <c r="C45" s="42">
        <v>96402</v>
      </c>
      <c r="D45" s="53" t="s">
        <v>69</v>
      </c>
      <c r="E45" s="42" t="s">
        <v>15</v>
      </c>
      <c r="F45" s="47">
        <v>0</v>
      </c>
      <c r="G45" s="43"/>
      <c r="H45" s="44">
        <v>2.77</v>
      </c>
      <c r="I45" s="101">
        <v>0.2564</v>
      </c>
      <c r="J45" s="64">
        <f t="shared" si="4"/>
        <v>3.4802280000000003</v>
      </c>
      <c r="K45" s="68">
        <f t="shared" si="5"/>
        <v>0</v>
      </c>
      <c r="L45" s="150"/>
    </row>
    <row r="46" spans="1:12" s="16" customFormat="1" ht="28.5" customHeight="1">
      <c r="A46" s="226" t="s">
        <v>238</v>
      </c>
      <c r="B46" s="206" t="s">
        <v>240</v>
      </c>
      <c r="C46" s="42">
        <v>4011353</v>
      </c>
      <c r="D46" s="53" t="s">
        <v>241</v>
      </c>
      <c r="E46" s="42" t="s">
        <v>243</v>
      </c>
      <c r="F46" s="47">
        <v>1288</v>
      </c>
      <c r="G46" s="43"/>
      <c r="H46" s="44">
        <v>0.28</v>
      </c>
      <c r="I46" s="101">
        <v>0.2564</v>
      </c>
      <c r="J46" s="64">
        <f t="shared" si="4"/>
        <v>0.35179200000000005</v>
      </c>
      <c r="K46" s="68">
        <f t="shared" si="5"/>
        <v>453.10809600000005</v>
      </c>
      <c r="L46" s="150"/>
    </row>
    <row r="47" spans="1:12" s="16" customFormat="1" ht="28.5" customHeight="1">
      <c r="A47" s="226" t="s">
        <v>239</v>
      </c>
      <c r="B47" s="206" t="s">
        <v>236</v>
      </c>
      <c r="C47" s="42" t="s">
        <v>237</v>
      </c>
      <c r="D47" s="53" t="s">
        <v>244</v>
      </c>
      <c r="E47" s="42" t="s">
        <v>242</v>
      </c>
      <c r="F47" s="47">
        <f>0.00045*F46</f>
        <v>0.5796</v>
      </c>
      <c r="G47" s="43"/>
      <c r="H47" s="44">
        <f>(2.58066*1000)*1.17</f>
        <v>3019.3722</v>
      </c>
      <c r="I47" s="101">
        <v>0.15</v>
      </c>
      <c r="J47" s="64">
        <f>H47+H47*I47</f>
        <v>3472.27803</v>
      </c>
      <c r="K47" s="68">
        <f t="shared" si="5"/>
        <v>2012.532346188</v>
      </c>
      <c r="L47" s="150"/>
    </row>
    <row r="48" spans="1:12" ht="20.25" customHeight="1">
      <c r="A48" s="223" t="s">
        <v>63</v>
      </c>
      <c r="B48" s="206" t="s">
        <v>232</v>
      </c>
      <c r="C48" s="42">
        <v>4011351</v>
      </c>
      <c r="D48" s="53" t="s">
        <v>39</v>
      </c>
      <c r="E48" s="42" t="s">
        <v>21</v>
      </c>
      <c r="F48" s="67">
        <v>1288</v>
      </c>
      <c r="G48" s="43"/>
      <c r="H48" s="44">
        <v>0.38</v>
      </c>
      <c r="I48" s="101">
        <v>0.2564</v>
      </c>
      <c r="J48" s="64">
        <f t="shared" si="4"/>
        <v>0.477432</v>
      </c>
      <c r="K48" s="68">
        <f t="shared" si="5"/>
        <v>614.932416</v>
      </c>
      <c r="L48" s="150"/>
    </row>
    <row r="49" spans="1:12" s="182" customFormat="1" ht="24">
      <c r="A49" s="226" t="s">
        <v>223</v>
      </c>
      <c r="B49" s="212" t="s">
        <v>236</v>
      </c>
      <c r="C49" s="196" t="s">
        <v>237</v>
      </c>
      <c r="D49" s="196" t="s">
        <v>229</v>
      </c>
      <c r="E49" s="174" t="s">
        <v>157</v>
      </c>
      <c r="F49" s="175">
        <f>F48*0.0012</f>
        <v>1.5455999999999999</v>
      </c>
      <c r="G49" s="176"/>
      <c r="H49" s="177">
        <f>3.84653*1000</f>
        <v>3846.53</v>
      </c>
      <c r="I49" s="178">
        <v>0.15</v>
      </c>
      <c r="J49" s="179">
        <f t="shared" si="4"/>
        <v>4423.5095</v>
      </c>
      <c r="K49" s="180">
        <f t="shared" si="5"/>
        <v>6836.9762832</v>
      </c>
      <c r="L49" s="181"/>
    </row>
    <row r="50" spans="1:12" ht="39" customHeight="1">
      <c r="A50" s="223" t="s">
        <v>64</v>
      </c>
      <c r="B50" s="206" t="s">
        <v>231</v>
      </c>
      <c r="C50" s="42">
        <v>95995</v>
      </c>
      <c r="D50" s="53" t="s">
        <v>200</v>
      </c>
      <c r="E50" s="42" t="s">
        <v>18</v>
      </c>
      <c r="F50" s="67">
        <f>F48*0.05</f>
        <v>64.4</v>
      </c>
      <c r="G50" s="43"/>
      <c r="H50" s="44">
        <v>1562.61</v>
      </c>
      <c r="I50" s="101">
        <v>0.2564</v>
      </c>
      <c r="J50" s="64">
        <f t="shared" si="4"/>
        <v>1963.2632039999999</v>
      </c>
      <c r="K50" s="68">
        <f t="shared" si="5"/>
        <v>126434.1503376</v>
      </c>
      <c r="L50" s="150"/>
    </row>
    <row r="51" spans="1:12" ht="37.5" customHeight="1">
      <c r="A51" s="223" t="s">
        <v>72</v>
      </c>
      <c r="B51" s="206" t="s">
        <v>231</v>
      </c>
      <c r="C51" s="46">
        <v>93588</v>
      </c>
      <c r="D51" s="57" t="s">
        <v>188</v>
      </c>
      <c r="E51" s="42" t="s">
        <v>68</v>
      </c>
      <c r="F51" s="67">
        <f>F50*26</f>
        <v>1674.4</v>
      </c>
      <c r="G51" s="43"/>
      <c r="H51" s="44">
        <v>2.89</v>
      </c>
      <c r="I51" s="101">
        <v>0.2564</v>
      </c>
      <c r="J51" s="64">
        <f t="shared" si="4"/>
        <v>3.630996</v>
      </c>
      <c r="K51" s="68">
        <f t="shared" si="5"/>
        <v>6079.7397024</v>
      </c>
      <c r="L51" s="150"/>
    </row>
    <row r="52" spans="1:12" s="193" customFormat="1" ht="37.5" customHeight="1">
      <c r="A52" s="223" t="s">
        <v>189</v>
      </c>
      <c r="B52" s="210" t="s">
        <v>231</v>
      </c>
      <c r="C52" s="183">
        <v>41682</v>
      </c>
      <c r="D52" s="184" t="s">
        <v>193</v>
      </c>
      <c r="E52" s="185" t="s">
        <v>77</v>
      </c>
      <c r="F52" s="186"/>
      <c r="G52" s="187"/>
      <c r="H52" s="188">
        <v>30.23</v>
      </c>
      <c r="I52" s="189">
        <v>0.2564</v>
      </c>
      <c r="J52" s="190">
        <f>H52+H52*I52</f>
        <v>37.980972</v>
      </c>
      <c r="K52" s="191">
        <f t="shared" si="5"/>
        <v>0</v>
      </c>
      <c r="L52" s="192"/>
    </row>
    <row r="53" spans="1:12" ht="37.5" customHeight="1">
      <c r="A53" s="223" t="s">
        <v>190</v>
      </c>
      <c r="B53" s="206" t="s">
        <v>231</v>
      </c>
      <c r="C53" s="46">
        <v>102498</v>
      </c>
      <c r="D53" s="57" t="s">
        <v>191</v>
      </c>
      <c r="E53" s="42" t="s">
        <v>14</v>
      </c>
      <c r="F53" s="67">
        <f>F54</f>
        <v>326</v>
      </c>
      <c r="G53" s="43"/>
      <c r="H53" s="44">
        <v>1.51</v>
      </c>
      <c r="I53" s="101">
        <v>0.2564</v>
      </c>
      <c r="J53" s="64">
        <f>H53+H53*I53</f>
        <v>1.897164</v>
      </c>
      <c r="K53" s="68">
        <f t="shared" si="5"/>
        <v>618.475464</v>
      </c>
      <c r="L53" s="150"/>
    </row>
    <row r="54" spans="1:12" s="182" customFormat="1" ht="37.5" customHeight="1">
      <c r="A54" s="223" t="s">
        <v>220</v>
      </c>
      <c r="B54" s="211" t="s">
        <v>233</v>
      </c>
      <c r="C54" s="172" t="s">
        <v>222</v>
      </c>
      <c r="D54" s="173" t="str">
        <f>Composição!B16</f>
        <v>MEIO FIO EXTRUSADO 15 CM BASEX15 CM E 12 CM TOPO (SINAPI 94363 ADAPTADO)</v>
      </c>
      <c r="E54" s="174" t="str">
        <f>Composição!E16</f>
        <v>M</v>
      </c>
      <c r="F54" s="175">
        <v>326</v>
      </c>
      <c r="G54" s="176"/>
      <c r="H54" s="177">
        <f>Composição!H16</f>
        <v>23.829775174825176</v>
      </c>
      <c r="I54" s="178">
        <v>0.2564</v>
      </c>
      <c r="J54" s="179">
        <f>H54+H54*I54</f>
        <v>29.93972952965035</v>
      </c>
      <c r="K54" s="180">
        <f>J54*F54</f>
        <v>9760.351826666014</v>
      </c>
      <c r="L54" s="181"/>
    </row>
    <row r="55" spans="1:11" ht="26.25" customHeight="1">
      <c r="A55" s="223"/>
      <c r="B55" s="209"/>
      <c r="C55" s="38"/>
      <c r="D55" s="131" t="s">
        <v>16</v>
      </c>
      <c r="E55" s="55"/>
      <c r="F55" s="69"/>
      <c r="G55" s="70"/>
      <c r="H55" s="153"/>
      <c r="I55" s="72"/>
      <c r="J55" s="73"/>
      <c r="K55" s="86">
        <f>SUM(K39:K54)</f>
        <v>322183.16331205406</v>
      </c>
    </row>
    <row r="56" spans="1:11" ht="4.5" customHeight="1">
      <c r="A56" s="223"/>
      <c r="B56" s="209"/>
      <c r="C56" s="38"/>
      <c r="D56" s="131"/>
      <c r="E56" s="55"/>
      <c r="F56" s="69"/>
      <c r="G56" s="70"/>
      <c r="H56" s="153"/>
      <c r="I56" s="72"/>
      <c r="J56" s="73"/>
      <c r="K56" s="86"/>
    </row>
    <row r="57" spans="1:11" ht="20.25" customHeight="1">
      <c r="A57" s="222" t="s">
        <v>78</v>
      </c>
      <c r="B57" s="205"/>
      <c r="C57" s="38"/>
      <c r="D57" s="134" t="s">
        <v>70</v>
      </c>
      <c r="E57" s="38"/>
      <c r="F57" s="85"/>
      <c r="G57" s="17"/>
      <c r="H57" s="156"/>
      <c r="I57" s="63"/>
      <c r="J57" s="64"/>
      <c r="K57" s="68"/>
    </row>
    <row r="58" spans="1:12" ht="45" customHeight="1">
      <c r="A58" s="227" t="s">
        <v>58</v>
      </c>
      <c r="B58" s="213" t="s">
        <v>231</v>
      </c>
      <c r="C58" s="46">
        <v>102509</v>
      </c>
      <c r="D58" s="57" t="s">
        <v>192</v>
      </c>
      <c r="E58" s="47" t="s">
        <v>21</v>
      </c>
      <c r="F58" s="47">
        <v>17.6</v>
      </c>
      <c r="G58" s="43"/>
      <c r="H58" s="44">
        <v>22.88</v>
      </c>
      <c r="I58" s="101">
        <v>0.2564</v>
      </c>
      <c r="J58" s="64">
        <f>H58+H58*I58</f>
        <v>28.746432</v>
      </c>
      <c r="K58" s="68">
        <f>J58*F58</f>
        <v>505.9372032</v>
      </c>
      <c r="L58" s="150"/>
    </row>
    <row r="59" spans="1:12" ht="53.25" customHeight="1">
      <c r="A59" s="227" t="s">
        <v>59</v>
      </c>
      <c r="B59" s="213" t="s">
        <v>231</v>
      </c>
      <c r="C59" s="46">
        <v>102512</v>
      </c>
      <c r="D59" s="57" t="s">
        <v>194</v>
      </c>
      <c r="E59" s="47" t="s">
        <v>14</v>
      </c>
      <c r="F59" s="47">
        <v>75.78</v>
      </c>
      <c r="G59" s="43"/>
      <c r="H59" s="44">
        <v>4.9</v>
      </c>
      <c r="I59" s="101">
        <v>0.2564</v>
      </c>
      <c r="J59" s="64">
        <f>H59+H59*I59</f>
        <v>6.15636</v>
      </c>
      <c r="K59" s="68">
        <f>J59*F59</f>
        <v>466.52896080000005</v>
      </c>
      <c r="L59" s="150"/>
    </row>
    <row r="60" spans="1:12" ht="29.25" customHeight="1">
      <c r="A60" s="227" t="s">
        <v>195</v>
      </c>
      <c r="B60" s="213" t="s">
        <v>232</v>
      </c>
      <c r="C60" s="46">
        <v>5213446</v>
      </c>
      <c r="D60" s="57" t="s">
        <v>201</v>
      </c>
      <c r="E60" s="47" t="s">
        <v>77</v>
      </c>
      <c r="F60" s="47">
        <v>1</v>
      </c>
      <c r="G60" s="43"/>
      <c r="H60" s="168">
        <v>585.95</v>
      </c>
      <c r="I60" s="101">
        <v>0.2564</v>
      </c>
      <c r="J60" s="64">
        <f>H60+H60*I60</f>
        <v>736.18758</v>
      </c>
      <c r="K60" s="68">
        <f>J60*F60</f>
        <v>736.18758</v>
      </c>
      <c r="L60" s="150"/>
    </row>
    <row r="61" spans="1:12" ht="39.75" customHeight="1">
      <c r="A61" s="227" t="s">
        <v>202</v>
      </c>
      <c r="B61" s="213" t="s">
        <v>232</v>
      </c>
      <c r="C61" s="46">
        <v>5213863</v>
      </c>
      <c r="D61" s="169" t="s">
        <v>203</v>
      </c>
      <c r="E61" s="47" t="s">
        <v>77</v>
      </c>
      <c r="F61" s="47">
        <v>1</v>
      </c>
      <c r="G61" s="43"/>
      <c r="H61" s="168">
        <v>454.58</v>
      </c>
      <c r="I61" s="101">
        <v>0.2564</v>
      </c>
      <c r="J61" s="64">
        <f>H61+H61*I61</f>
        <v>571.134312</v>
      </c>
      <c r="K61" s="68">
        <f>J61*F61</f>
        <v>571.134312</v>
      </c>
      <c r="L61" s="150"/>
    </row>
    <row r="62" spans="1:11" ht="32.25" customHeight="1">
      <c r="A62" s="227"/>
      <c r="B62" s="214"/>
      <c r="C62" s="39"/>
      <c r="D62" s="131" t="s">
        <v>16</v>
      </c>
      <c r="E62" s="55"/>
      <c r="F62" s="69"/>
      <c r="G62" s="70"/>
      <c r="H62" s="71"/>
      <c r="I62" s="72"/>
      <c r="J62" s="73"/>
      <c r="K62" s="86">
        <f>SUM(K58:K61)</f>
        <v>2279.7880560000003</v>
      </c>
    </row>
    <row r="63" spans="1:11" ht="24.75" customHeight="1" thickBot="1">
      <c r="A63" s="292" t="s">
        <v>11</v>
      </c>
      <c r="B63" s="293"/>
      <c r="C63" s="293"/>
      <c r="D63" s="293"/>
      <c r="E63" s="293"/>
      <c r="F63" s="293"/>
      <c r="G63" s="293"/>
      <c r="H63" s="293"/>
      <c r="I63" s="293"/>
      <c r="J63" s="294"/>
      <c r="K63" s="171">
        <f>K14+K23+K36+K55+K62</f>
        <v>370042.09151789406</v>
      </c>
    </row>
    <row r="64" spans="1:12" ht="24.75" customHeight="1">
      <c r="A64" s="228"/>
      <c r="B64" s="215"/>
      <c r="C64" s="87"/>
      <c r="D64" s="87"/>
      <c r="E64" s="87"/>
      <c r="F64" s="87"/>
      <c r="G64" s="87"/>
      <c r="H64" s="87"/>
      <c r="I64" s="87"/>
      <c r="J64" s="87"/>
      <c r="K64" s="88"/>
      <c r="L64" s="151"/>
    </row>
    <row r="65" spans="1:12" s="1" customFormat="1" ht="12.75">
      <c r="A65" s="295" t="s">
        <v>205</v>
      </c>
      <c r="B65" s="296"/>
      <c r="C65" s="297"/>
      <c r="D65" s="304" t="s">
        <v>207</v>
      </c>
      <c r="E65" s="297"/>
      <c r="F65" s="306" t="s">
        <v>4</v>
      </c>
      <c r="G65" s="307"/>
      <c r="H65" s="307"/>
      <c r="I65" s="307"/>
      <c r="J65" s="307"/>
      <c r="K65" s="308"/>
      <c r="L65" s="152"/>
    </row>
    <row r="66" spans="1:11" ht="12.75" customHeight="1">
      <c r="A66" s="298"/>
      <c r="B66" s="299"/>
      <c r="C66" s="300"/>
      <c r="D66" s="305"/>
      <c r="E66" s="300"/>
      <c r="F66" s="309"/>
      <c r="G66" s="310"/>
      <c r="H66" s="310"/>
      <c r="I66" s="310"/>
      <c r="J66" s="310"/>
      <c r="K66" s="311"/>
    </row>
    <row r="67" spans="1:11" ht="12.75">
      <c r="A67" s="298"/>
      <c r="B67" s="299"/>
      <c r="C67" s="300"/>
      <c r="D67" s="305" t="s">
        <v>206</v>
      </c>
      <c r="E67" s="300"/>
      <c r="F67" s="309"/>
      <c r="G67" s="310"/>
      <c r="H67" s="310"/>
      <c r="I67" s="310"/>
      <c r="J67" s="310"/>
      <c r="K67" s="311"/>
    </row>
    <row r="68" spans="1:11" ht="13.5" thickBot="1">
      <c r="A68" s="301"/>
      <c r="B68" s="302"/>
      <c r="C68" s="303"/>
      <c r="D68" s="315"/>
      <c r="E68" s="303"/>
      <c r="F68" s="312"/>
      <c r="G68" s="313"/>
      <c r="H68" s="313"/>
      <c r="I68" s="313"/>
      <c r="J68" s="313"/>
      <c r="K68" s="314"/>
    </row>
    <row r="70" spans="1:2" ht="12.75">
      <c r="A70" s="229"/>
      <c r="B70" s="12"/>
    </row>
    <row r="71" spans="1:11" ht="12.75">
      <c r="A71" s="230"/>
      <c r="B71" s="48"/>
      <c r="C71" s="48"/>
      <c r="D71" s="48"/>
      <c r="E71" s="48"/>
      <c r="F71" s="201"/>
      <c r="G71" s="48"/>
      <c r="H71" s="48"/>
      <c r="I71" s="48"/>
      <c r="J71" s="48"/>
      <c r="K71" s="48"/>
    </row>
    <row r="72" spans="1:11" ht="12.75" customHeight="1">
      <c r="A72" s="230"/>
      <c r="B72" s="48"/>
      <c r="C72" s="48"/>
      <c r="D72" s="48"/>
      <c r="E72" s="48"/>
      <c r="F72" s="201"/>
      <c r="G72" s="48"/>
      <c r="H72" s="48"/>
      <c r="I72" s="48"/>
      <c r="J72" s="48"/>
      <c r="K72" s="48"/>
    </row>
    <row r="73" spans="1:11" ht="12.75">
      <c r="A73" s="230"/>
      <c r="B73" s="48"/>
      <c r="C73" s="48"/>
      <c r="D73" s="48"/>
      <c r="E73" s="48"/>
      <c r="F73" s="201"/>
      <c r="G73" s="48"/>
      <c r="H73" s="48"/>
      <c r="I73" s="48"/>
      <c r="J73" s="48"/>
      <c r="K73" s="48"/>
    </row>
    <row r="74" spans="1:11" ht="12.75">
      <c r="A74" s="230"/>
      <c r="B74" s="48"/>
      <c r="C74" s="48"/>
      <c r="D74" s="48"/>
      <c r="E74" s="48"/>
      <c r="F74" s="201"/>
      <c r="G74" s="48"/>
      <c r="H74" s="48"/>
      <c r="I74" s="48"/>
      <c r="J74" s="48"/>
      <c r="K74" s="48"/>
    </row>
    <row r="75" spans="1:11" ht="12.75">
      <c r="A75" s="231"/>
      <c r="B75" s="4"/>
      <c r="C75" s="4"/>
      <c r="D75" s="4"/>
      <c r="E75" s="4"/>
      <c r="F75" s="202"/>
      <c r="G75" s="4"/>
      <c r="H75" s="4"/>
      <c r="I75" s="4"/>
      <c r="J75" s="4"/>
      <c r="K75" s="4"/>
    </row>
    <row r="76" spans="1:11" ht="15" customHeight="1">
      <c r="A76" s="230"/>
      <c r="B76" s="48"/>
      <c r="C76" s="48"/>
      <c r="D76" s="48"/>
      <c r="E76" s="48"/>
      <c r="F76" s="201"/>
      <c r="G76" s="48"/>
      <c r="H76" s="48"/>
      <c r="I76" s="48"/>
      <c r="J76" s="48"/>
      <c r="K76" s="48"/>
    </row>
    <row r="77" spans="1:11" ht="12.75" customHeight="1">
      <c r="A77" s="230"/>
      <c r="B77" s="48"/>
      <c r="C77" s="48"/>
      <c r="D77" s="48"/>
      <c r="E77" s="48"/>
      <c r="F77" s="201"/>
      <c r="G77" s="48"/>
      <c r="H77" s="48"/>
      <c r="I77" s="48"/>
      <c r="J77" s="48"/>
      <c r="K77" s="48"/>
    </row>
    <row r="78" spans="1:11" ht="12.75">
      <c r="A78" s="232"/>
      <c r="B78" s="11"/>
      <c r="C78" s="11"/>
      <c r="D78" s="11"/>
      <c r="E78" s="11"/>
      <c r="F78" s="201"/>
      <c r="G78" s="11"/>
      <c r="H78" s="11"/>
      <c r="I78" s="11"/>
      <c r="J78" s="11"/>
      <c r="K78" s="11"/>
    </row>
    <row r="79" spans="1:11" ht="4.5" customHeight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</row>
  </sheetData>
  <sheetProtection/>
  <mergeCells count="24">
    <mergeCell ref="A79:K79"/>
    <mergeCell ref="J9:J10"/>
    <mergeCell ref="K9:K10"/>
    <mergeCell ref="A63:J63"/>
    <mergeCell ref="A65:C68"/>
    <mergeCell ref="D65:E66"/>
    <mergeCell ref="F65:K68"/>
    <mergeCell ref="D67:E68"/>
    <mergeCell ref="A7:K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I1"/>
    <mergeCell ref="A2:I3"/>
    <mergeCell ref="A4:C5"/>
    <mergeCell ref="D4:I5"/>
    <mergeCell ref="A6:C6"/>
    <mergeCell ref="D6:K6"/>
  </mergeCells>
  <printOptions horizontalCentered="1"/>
  <pageMargins left="0.2362204724409449" right="0.2362204724409449" top="0.2362204724409449" bottom="0.2362204724409449" header="0.31496062992125984" footer="0.31496062992125984"/>
  <pageSetup fitToHeight="3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58"/>
  <sheetViews>
    <sheetView showGridLines="0" view="pageLayout" zoomScaleNormal="85" zoomScaleSheetLayoutView="85" workbookViewId="0" topLeftCell="A1">
      <selection activeCell="H69" sqref="H69"/>
    </sheetView>
  </sheetViews>
  <sheetFormatPr defaultColWidth="0" defaultRowHeight="12.75" customHeight="1" zeroHeight="1"/>
  <cols>
    <col min="1" max="1" width="2.57421875" style="109" customWidth="1"/>
    <col min="2" max="2" width="4.7109375" style="109" bestFit="1" customWidth="1"/>
    <col min="3" max="3" width="8.421875" style="109" customWidth="1"/>
    <col min="4" max="4" width="5.140625" style="109" bestFit="1" customWidth="1"/>
    <col min="5" max="5" width="11.00390625" style="109" customWidth="1"/>
    <col min="6" max="6" width="7.8515625" style="109" customWidth="1"/>
    <col min="7" max="7" width="23.28125" style="109" customWidth="1"/>
    <col min="8" max="8" width="23.421875" style="109" customWidth="1"/>
    <col min="9" max="13" width="9.140625" style="109" customWidth="1"/>
    <col min="14" max="14" width="8.421875" style="109" customWidth="1"/>
    <col min="15" max="15" width="1.57421875" style="109" customWidth="1"/>
    <col min="16" max="251" width="39.8515625" style="109" hidden="1" customWidth="1"/>
    <col min="252" max="252" width="9.8515625" style="109" hidden="1" customWidth="1"/>
    <col min="253" max="255" width="39.8515625" style="109" hidden="1" customWidth="1"/>
    <col min="256" max="16384" width="3.421875" style="109" hidden="1" customWidth="1"/>
  </cols>
  <sheetData>
    <row r="1" ht="14.25" customHeight="1"/>
    <row r="2" spans="2:18" ht="15.75" customHeight="1">
      <c r="B2" s="316" t="s">
        <v>95</v>
      </c>
      <c r="C2" s="317"/>
      <c r="D2" s="317"/>
      <c r="E2" s="317"/>
      <c r="F2" s="317"/>
      <c r="G2" s="318"/>
      <c r="H2" s="319" t="s">
        <v>96</v>
      </c>
      <c r="I2" s="319"/>
      <c r="J2" s="319"/>
      <c r="K2" s="319"/>
      <c r="L2" s="319"/>
      <c r="M2" s="319"/>
      <c r="N2" s="320"/>
      <c r="O2" s="110"/>
      <c r="P2" s="110"/>
      <c r="Q2" s="110"/>
      <c r="R2" s="110"/>
    </row>
    <row r="3" spans="2:18" ht="16.5" customHeight="1" thickBot="1">
      <c r="B3" s="321" t="s">
        <v>97</v>
      </c>
      <c r="C3" s="322"/>
      <c r="D3" s="322"/>
      <c r="E3" s="322"/>
      <c r="F3" s="322"/>
      <c r="G3" s="323"/>
      <c r="H3" s="324" t="s">
        <v>98</v>
      </c>
      <c r="I3" s="324"/>
      <c r="J3" s="324"/>
      <c r="K3" s="324"/>
      <c r="L3" s="324"/>
      <c r="M3" s="324"/>
      <c r="N3" s="325"/>
      <c r="O3" s="110"/>
      <c r="P3" s="110"/>
      <c r="Q3" s="110"/>
      <c r="R3" s="110"/>
    </row>
    <row r="4" ht="13.5" thickBot="1"/>
    <row r="5" spans="2:14" ht="12.75" customHeight="1">
      <c r="B5" s="326" t="s">
        <v>99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8"/>
    </row>
    <row r="6" spans="2:14" ht="13.5" thickBot="1">
      <c r="B6" s="329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1"/>
    </row>
    <row r="7" spans="2:17" ht="12.75" customHeight="1">
      <c r="B7" s="332" t="s">
        <v>100</v>
      </c>
      <c r="C7" s="333"/>
      <c r="D7" s="333"/>
      <c r="E7" s="334"/>
      <c r="F7" s="341" t="s">
        <v>101</v>
      </c>
      <c r="G7" s="342"/>
      <c r="H7" s="343"/>
      <c r="I7" s="332" t="s">
        <v>102</v>
      </c>
      <c r="J7" s="333"/>
      <c r="K7" s="333"/>
      <c r="L7" s="333"/>
      <c r="M7" s="333"/>
      <c r="N7" s="334"/>
      <c r="Q7" s="109" t="s">
        <v>103</v>
      </c>
    </row>
    <row r="8" spans="2:17" ht="12.75">
      <c r="B8" s="335"/>
      <c r="C8" s="336"/>
      <c r="D8" s="336"/>
      <c r="E8" s="337"/>
      <c r="F8" s="344"/>
      <c r="G8" s="345"/>
      <c r="H8" s="346"/>
      <c r="I8" s="350" t="str">
        <f>IF(F7=S13,S20,IF(F7=S14,S21,IF(F7=S15,S22,IF(F7=S16,S23,IF(F7=S17,S24,IF(F7=S18,S25,""))))))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8" s="351"/>
      <c r="K8" s="351"/>
      <c r="L8" s="351"/>
      <c r="M8" s="351"/>
      <c r="N8" s="352"/>
      <c r="Q8" s="109" t="s">
        <v>104</v>
      </c>
    </row>
    <row r="9" spans="2:19" ht="12.75" customHeight="1" thickBot="1">
      <c r="B9" s="338"/>
      <c r="C9" s="339"/>
      <c r="D9" s="339"/>
      <c r="E9" s="340"/>
      <c r="F9" s="347"/>
      <c r="G9" s="348"/>
      <c r="H9" s="349"/>
      <c r="I9" s="350"/>
      <c r="J9" s="351"/>
      <c r="K9" s="351"/>
      <c r="L9" s="351"/>
      <c r="M9" s="351"/>
      <c r="N9" s="352"/>
      <c r="Q9" s="112" t="s">
        <v>105</v>
      </c>
      <c r="S9" s="109" t="s">
        <v>106</v>
      </c>
    </row>
    <row r="10" spans="2:19" ht="12.75">
      <c r="B10" s="356" t="s">
        <v>107</v>
      </c>
      <c r="C10" s="357"/>
      <c r="D10" s="357"/>
      <c r="E10" s="358"/>
      <c r="F10" s="359" t="s">
        <v>104</v>
      </c>
      <c r="G10" s="360"/>
      <c r="H10" s="361"/>
      <c r="I10" s="350"/>
      <c r="J10" s="351"/>
      <c r="K10" s="351"/>
      <c r="L10" s="351"/>
      <c r="M10" s="351"/>
      <c r="N10" s="352"/>
      <c r="Q10" s="112"/>
      <c r="S10" s="109" t="s">
        <v>108</v>
      </c>
    </row>
    <row r="11" spans="2:19" ht="12.75">
      <c r="B11" s="356"/>
      <c r="C11" s="357"/>
      <c r="D11" s="357"/>
      <c r="E11" s="358"/>
      <c r="F11" s="359"/>
      <c r="G11" s="360"/>
      <c r="H11" s="361"/>
      <c r="I11" s="350"/>
      <c r="J11" s="351"/>
      <c r="K11" s="351"/>
      <c r="L11" s="351"/>
      <c r="M11" s="351"/>
      <c r="N11" s="352"/>
      <c r="Q11" s="112"/>
      <c r="S11" s="109" t="s">
        <v>108</v>
      </c>
    </row>
    <row r="12" spans="2:19" ht="12.75" customHeight="1">
      <c r="B12" s="356"/>
      <c r="C12" s="357"/>
      <c r="D12" s="357"/>
      <c r="E12" s="358"/>
      <c r="F12" s="359"/>
      <c r="G12" s="360"/>
      <c r="H12" s="361"/>
      <c r="I12" s="350"/>
      <c r="J12" s="351"/>
      <c r="K12" s="351"/>
      <c r="L12" s="351"/>
      <c r="M12" s="351"/>
      <c r="N12" s="352"/>
      <c r="Q12" s="112"/>
      <c r="S12" s="109" t="s">
        <v>106</v>
      </c>
    </row>
    <row r="13" spans="2:19" ht="13.5" thickBot="1">
      <c r="B13" s="329"/>
      <c r="C13" s="330"/>
      <c r="D13" s="330"/>
      <c r="E13" s="331"/>
      <c r="F13" s="362"/>
      <c r="G13" s="363"/>
      <c r="H13" s="364"/>
      <c r="I13" s="350"/>
      <c r="J13" s="351"/>
      <c r="K13" s="351"/>
      <c r="L13" s="351"/>
      <c r="M13" s="351"/>
      <c r="N13" s="352"/>
      <c r="Q13" s="112"/>
      <c r="S13" s="109" t="s">
        <v>108</v>
      </c>
    </row>
    <row r="14" spans="2:19" ht="12.75" customHeight="1">
      <c r="B14" s="326" t="str">
        <f>IF(F14="OK","BDI ABAIXO PODE SER ACEITO","")</f>
        <v>BDI ABAIXO PODE SER ACEITO</v>
      </c>
      <c r="C14" s="327"/>
      <c r="D14" s="327"/>
      <c r="E14" s="328"/>
      <c r="F14" s="365" t="str">
        <f>IF(AD29=FALSE,"",IF(G30="FORA DO LIMITE","VERIFICAR ITENS",IF(G32="FORA DO LIMITE","VERIFICAR ITENS",IF(G34="FORA DO LIMITE","VERIFICAR ITENS",IF(G36="FORA DO LIMITE","VERIFICAR ITENS",IF(G38="FORA DO LIMITE","VERIFICAR ITENS",IF(Z28&lt;W28,"FORA DA FAIXA",IF(Z28&gt;X28,"FORA DA FAIXA","OK"))))))))</f>
        <v>OK</v>
      </c>
      <c r="G14" s="366"/>
      <c r="H14" s="367"/>
      <c r="I14" s="350"/>
      <c r="J14" s="351"/>
      <c r="K14" s="351"/>
      <c r="L14" s="351"/>
      <c r="M14" s="351"/>
      <c r="N14" s="352"/>
      <c r="Q14" s="112"/>
      <c r="S14" s="109" t="s">
        <v>101</v>
      </c>
    </row>
    <row r="15" spans="2:19" ht="13.5" customHeight="1">
      <c r="B15" s="356"/>
      <c r="C15" s="357"/>
      <c r="D15" s="357"/>
      <c r="E15" s="358"/>
      <c r="F15" s="365"/>
      <c r="G15" s="366"/>
      <c r="H15" s="367"/>
      <c r="I15" s="350"/>
      <c r="J15" s="351"/>
      <c r="K15" s="351"/>
      <c r="L15" s="351"/>
      <c r="M15" s="351"/>
      <c r="N15" s="352"/>
      <c r="Q15" s="112"/>
      <c r="S15" s="109" t="s">
        <v>109</v>
      </c>
    </row>
    <row r="16" spans="2:19" ht="12.75">
      <c r="B16" s="356"/>
      <c r="C16" s="357"/>
      <c r="D16" s="357"/>
      <c r="E16" s="358"/>
      <c r="F16" s="365"/>
      <c r="G16" s="366"/>
      <c r="H16" s="367"/>
      <c r="I16" s="350"/>
      <c r="J16" s="351"/>
      <c r="K16" s="351"/>
      <c r="L16" s="351"/>
      <c r="M16" s="351"/>
      <c r="N16" s="352"/>
      <c r="Q16" s="112"/>
      <c r="S16" s="109" t="s">
        <v>110</v>
      </c>
    </row>
    <row r="17" spans="2:19" ht="12.75">
      <c r="B17" s="356"/>
      <c r="C17" s="357"/>
      <c r="D17" s="357"/>
      <c r="E17" s="358"/>
      <c r="F17" s="365"/>
      <c r="G17" s="366"/>
      <c r="H17" s="367"/>
      <c r="I17" s="350"/>
      <c r="J17" s="351"/>
      <c r="K17" s="351"/>
      <c r="L17" s="351"/>
      <c r="M17" s="351"/>
      <c r="N17" s="352"/>
      <c r="Q17" s="112"/>
      <c r="S17" s="109" t="s">
        <v>111</v>
      </c>
    </row>
    <row r="18" spans="2:24" ht="12.75">
      <c r="B18" s="356"/>
      <c r="C18" s="357"/>
      <c r="D18" s="357"/>
      <c r="E18" s="358"/>
      <c r="F18" s="365"/>
      <c r="G18" s="366"/>
      <c r="H18" s="367"/>
      <c r="I18" s="350"/>
      <c r="J18" s="351"/>
      <c r="K18" s="351"/>
      <c r="L18" s="351"/>
      <c r="M18" s="351"/>
      <c r="N18" s="352"/>
      <c r="Q18" s="112"/>
      <c r="S18" s="109" t="s">
        <v>112</v>
      </c>
      <c r="X18" s="109" t="s">
        <v>102</v>
      </c>
    </row>
    <row r="19" spans="2:17" ht="13.5" thickBot="1">
      <c r="B19" s="329"/>
      <c r="C19" s="330"/>
      <c r="D19" s="330"/>
      <c r="E19" s="331"/>
      <c r="F19" s="365"/>
      <c r="G19" s="366"/>
      <c r="H19" s="367"/>
      <c r="I19" s="350"/>
      <c r="J19" s="351"/>
      <c r="K19" s="351"/>
      <c r="L19" s="351"/>
      <c r="M19" s="351"/>
      <c r="N19" s="352"/>
      <c r="Q19" s="112"/>
    </row>
    <row r="20" spans="2:19" ht="12.75" customHeight="1">
      <c r="B20" s="370">
        <f>IF(Z29=FALSE,IF(F7="Escolha o tipo de obra","Escolha o tipo de obra",IF(F10="ONERADO",Z28,IF(F10="DESONERADO",AB28,"Escolha o regime de contribuição"))),"PREENCHER TODOS OS COMPONENTES DO BDI")</f>
        <v>0.2564</v>
      </c>
      <c r="C20" s="371"/>
      <c r="D20" s="371"/>
      <c r="E20" s="372"/>
      <c r="F20" s="365"/>
      <c r="G20" s="366"/>
      <c r="H20" s="367"/>
      <c r="I20" s="350"/>
      <c r="J20" s="351"/>
      <c r="K20" s="351"/>
      <c r="L20" s="351"/>
      <c r="M20" s="351"/>
      <c r="N20" s="352"/>
      <c r="Q20" s="112"/>
      <c r="S20" s="109" t="s">
        <v>113</v>
      </c>
    </row>
    <row r="21" spans="2:19" ht="12.75" customHeight="1">
      <c r="B21" s="373"/>
      <c r="C21" s="374"/>
      <c r="D21" s="374"/>
      <c r="E21" s="375"/>
      <c r="F21" s="365"/>
      <c r="G21" s="366"/>
      <c r="H21" s="367"/>
      <c r="I21" s="350"/>
      <c r="J21" s="351"/>
      <c r="K21" s="351"/>
      <c r="L21" s="351"/>
      <c r="M21" s="351"/>
      <c r="N21" s="352"/>
      <c r="Q21" s="112"/>
      <c r="S21" s="109" t="s">
        <v>114</v>
      </c>
    </row>
    <row r="22" spans="2:19" ht="12.75" customHeight="1">
      <c r="B22" s="373"/>
      <c r="C22" s="374"/>
      <c r="D22" s="374"/>
      <c r="E22" s="375"/>
      <c r="F22" s="365"/>
      <c r="G22" s="366"/>
      <c r="H22" s="367"/>
      <c r="I22" s="350"/>
      <c r="J22" s="351"/>
      <c r="K22" s="351"/>
      <c r="L22" s="351"/>
      <c r="M22" s="351"/>
      <c r="N22" s="352"/>
      <c r="Q22" s="112"/>
      <c r="S22" s="109" t="s">
        <v>115</v>
      </c>
    </row>
    <row r="23" spans="2:19" ht="13.5" customHeight="1">
      <c r="B23" s="373"/>
      <c r="C23" s="374"/>
      <c r="D23" s="374"/>
      <c r="E23" s="375"/>
      <c r="F23" s="365"/>
      <c r="G23" s="366"/>
      <c r="H23" s="367"/>
      <c r="I23" s="350"/>
      <c r="J23" s="351"/>
      <c r="K23" s="351"/>
      <c r="L23" s="351"/>
      <c r="M23" s="351"/>
      <c r="N23" s="352"/>
      <c r="Q23" s="112"/>
      <c r="S23" s="109" t="s">
        <v>116</v>
      </c>
    </row>
    <row r="24" spans="2:19" ht="12.75" customHeight="1">
      <c r="B24" s="373"/>
      <c r="C24" s="374"/>
      <c r="D24" s="374"/>
      <c r="E24" s="375"/>
      <c r="F24" s="365"/>
      <c r="G24" s="366"/>
      <c r="H24" s="367"/>
      <c r="I24" s="350"/>
      <c r="J24" s="351"/>
      <c r="K24" s="351"/>
      <c r="L24" s="351"/>
      <c r="M24" s="351"/>
      <c r="N24" s="352"/>
      <c r="Q24" s="112"/>
      <c r="S24" s="109" t="s">
        <v>117</v>
      </c>
    </row>
    <row r="25" spans="2:19" ht="12.75" customHeight="1">
      <c r="B25" s="373"/>
      <c r="C25" s="374"/>
      <c r="D25" s="374"/>
      <c r="E25" s="375"/>
      <c r="F25" s="365"/>
      <c r="G25" s="366"/>
      <c r="H25" s="367"/>
      <c r="I25" s="350"/>
      <c r="J25" s="351"/>
      <c r="K25" s="351"/>
      <c r="L25" s="351"/>
      <c r="M25" s="351"/>
      <c r="N25" s="352"/>
      <c r="Q25" s="112"/>
      <c r="S25" s="109" t="s">
        <v>118</v>
      </c>
    </row>
    <row r="26" spans="2:17" ht="13.5" customHeight="1" thickBot="1">
      <c r="B26" s="373"/>
      <c r="C26" s="374"/>
      <c r="D26" s="374"/>
      <c r="E26" s="375"/>
      <c r="F26" s="366"/>
      <c r="G26" s="366"/>
      <c r="H26" s="367"/>
      <c r="I26" s="353"/>
      <c r="J26" s="354"/>
      <c r="K26" s="354"/>
      <c r="L26" s="354"/>
      <c r="M26" s="354"/>
      <c r="N26" s="355"/>
      <c r="Q26" s="112"/>
    </row>
    <row r="27" spans="2:28" ht="13.5" customHeight="1" thickBot="1">
      <c r="B27" s="373"/>
      <c r="C27" s="374"/>
      <c r="D27" s="374"/>
      <c r="E27" s="375"/>
      <c r="F27" s="366"/>
      <c r="G27" s="366"/>
      <c r="H27" s="367"/>
      <c r="I27" s="379" t="s">
        <v>119</v>
      </c>
      <c r="J27" s="379"/>
      <c r="K27" s="379"/>
      <c r="L27" s="379"/>
      <c r="M27" s="379"/>
      <c r="N27" s="380"/>
      <c r="Q27" s="112"/>
      <c r="S27" s="109" t="s">
        <v>120</v>
      </c>
      <c r="W27" s="114" t="s">
        <v>121</v>
      </c>
      <c r="X27" s="114" t="s">
        <v>122</v>
      </c>
      <c r="Z27" s="114" t="s">
        <v>123</v>
      </c>
      <c r="AB27" s="114" t="s">
        <v>124</v>
      </c>
    </row>
    <row r="28" spans="2:28" ht="13.5" customHeight="1" thickBot="1">
      <c r="B28" s="376"/>
      <c r="C28" s="377"/>
      <c r="D28" s="377"/>
      <c r="E28" s="378"/>
      <c r="F28" s="368"/>
      <c r="G28" s="368"/>
      <c r="H28" s="369"/>
      <c r="I28" s="381" t="s">
        <v>125</v>
      </c>
      <c r="J28" s="382"/>
      <c r="K28" s="382"/>
      <c r="L28" s="382"/>
      <c r="M28" s="382"/>
      <c r="N28" s="383"/>
      <c r="Q28" s="112"/>
      <c r="S28" s="109" t="s">
        <v>126</v>
      </c>
      <c r="W28" s="115">
        <f>IF($F$7=$S$13,T30,IF($F$7=$S$14,X30,IF($F$7=$S$15,AB30,IF($F$7=$S$16,T36,IF($F$7=$S$17,X36,IF($F$7=$S$18,AB36))))))</f>
        <v>0.196</v>
      </c>
      <c r="X28" s="115">
        <f>IF($F$7=$S$13,U30,IF($F$7=$S$14,Y30,IF($F$7=$S$15,AC30,IF($F$7=$S$16,U36,IF($F$7=$S$17,Y36,IF($F$7=$S$18,AC36))))))</f>
        <v>0.2423</v>
      </c>
      <c r="Y28" s="115">
        <f>IF(F10="DESONERADO",AB28,IF(F10="SEM DESONERAÇÃO",Z28,""))</f>
        <v>0.2564</v>
      </c>
      <c r="Z28" s="115">
        <f>TRUNC(ROUND(((1+F30+F32+F34)*(1+F36)*(1+F38))/(1-(F40+F41+F42))-1,4),4)</f>
        <v>0.1964</v>
      </c>
      <c r="AB28" s="115">
        <f>TRUNC(ROUND(((1+F30+F32+F34)*(1+F36)*(1+F38))/(1-(F40+F41+F42+F43))-1,4),4)</f>
        <v>0.2564</v>
      </c>
    </row>
    <row r="29" spans="2:30" ht="19.5" customHeight="1" thickBot="1">
      <c r="B29" s="384" t="s">
        <v>127</v>
      </c>
      <c r="C29" s="385"/>
      <c r="D29" s="385"/>
      <c r="E29" s="386"/>
      <c r="F29" s="116" t="s">
        <v>34</v>
      </c>
      <c r="G29" s="387" t="s">
        <v>128</v>
      </c>
      <c r="H29" s="388"/>
      <c r="I29" s="350"/>
      <c r="J29" s="351"/>
      <c r="K29" s="351"/>
      <c r="L29" s="351"/>
      <c r="M29" s="351"/>
      <c r="N29" s="352"/>
      <c r="Q29" s="112"/>
      <c r="S29" s="109" t="s">
        <v>129</v>
      </c>
      <c r="W29" s="109" t="s">
        <v>130</v>
      </c>
      <c r="Z29" s="109" t="b">
        <f>IF(F10="DESONERADO",OR(F30="",F32="",F34="",F36="",F38="",F40="",F41="",F42="",F43=""),OR(F30="",F32="",F34="",F36="",F38="",F40="",F41="",F42=""))</f>
        <v>0</v>
      </c>
      <c r="AA29" s="109" t="b">
        <f>IF(F10="SEM DESONERAÇÃO",AND(F30="",F32="",F34="",F36="",F38="",F40="",F41="",F42=""))</f>
        <v>0</v>
      </c>
      <c r="AC29" s="109" t="b">
        <f>IF(F10="SEM DESONERAÇÃO",AND(F30="",F32="",F34="",F36="",F38="",F40="",F41="",F42=""),IF(F10="DESONERADO",AND(F30="",F32="",F34="",F36="",F38="",F40="",F41="",F42="",F43=""),"NULO"))</f>
        <v>0</v>
      </c>
      <c r="AD29" s="109" t="b">
        <f>OR(B20=Z28,B20=AB28)</f>
        <v>1</v>
      </c>
    </row>
    <row r="30" spans="2:29" ht="19.5" customHeight="1">
      <c r="B30" s="332" t="s">
        <v>131</v>
      </c>
      <c r="C30" s="327"/>
      <c r="D30" s="327"/>
      <c r="E30" s="328"/>
      <c r="F30" s="389">
        <v>0.038</v>
      </c>
      <c r="G30" s="381" t="str">
        <f>IF(F7="Escolha o tipo de obra","",IF(F30="","",IF(F30&lt;C31,"FORA DO LIMITE",IF(F30&gt;E31,"FORA DO LIMITE","OK"))))</f>
        <v>OK</v>
      </c>
      <c r="H30" s="383"/>
      <c r="I30" s="350"/>
      <c r="J30" s="351"/>
      <c r="K30" s="351"/>
      <c r="L30" s="351"/>
      <c r="M30" s="351"/>
      <c r="N30" s="352"/>
      <c r="S30" s="109" t="s">
        <v>132</v>
      </c>
      <c r="T30" s="115">
        <v>0.2034</v>
      </c>
      <c r="U30" s="115">
        <v>0.25</v>
      </c>
      <c r="W30" s="109" t="s">
        <v>133</v>
      </c>
      <c r="X30" s="115">
        <v>0.196</v>
      </c>
      <c r="Y30" s="115">
        <v>0.2423</v>
      </c>
      <c r="AA30" s="109" t="s">
        <v>134</v>
      </c>
      <c r="AB30" s="115">
        <v>0.2076</v>
      </c>
      <c r="AC30" s="115">
        <v>0.2644</v>
      </c>
    </row>
    <row r="31" spans="2:35" ht="19.5" customHeight="1" thickBot="1">
      <c r="B31" s="117" t="s">
        <v>135</v>
      </c>
      <c r="C31" s="118">
        <f>IF($F$7=$S$13,S31,IF($F$7=$S$14,W31,IF($F$7=$S$15,AA31,IF($F$7=$S$16,S37,IF($F$7=$S$17,W37,IF($F$7=$S$18,AA37,""))))))</f>
        <v>0.038</v>
      </c>
      <c r="D31" s="119" t="s">
        <v>136</v>
      </c>
      <c r="E31" s="120">
        <f>IF($F$7=$S$13,T31,IF($F$7=$S$14,X31,IF($F$7=$S$15,AB31,IF($F$7=$S$16,T37,IF($F$7=$S$17,X37,IF($F$7=$S$18,AB37,""))))))</f>
        <v>0.0467</v>
      </c>
      <c r="F31" s="390"/>
      <c r="G31" s="353"/>
      <c r="H31" s="355"/>
      <c r="I31" s="350"/>
      <c r="J31" s="351"/>
      <c r="K31" s="351"/>
      <c r="L31" s="351"/>
      <c r="M31" s="351"/>
      <c r="N31" s="352"/>
      <c r="Q31" s="109" t="str">
        <f>IF(H3="","",H3)</f>
        <v>IPUMIRIM  - SC</v>
      </c>
      <c r="S31" s="115">
        <v>0.03</v>
      </c>
      <c r="T31" s="115">
        <v>0.055</v>
      </c>
      <c r="W31" s="115">
        <v>0.038</v>
      </c>
      <c r="X31" s="115">
        <v>0.0467</v>
      </c>
      <c r="AA31" s="115">
        <v>0.0343</v>
      </c>
      <c r="AB31" s="115">
        <v>0.0671</v>
      </c>
      <c r="AH31" s="115">
        <v>0.2034</v>
      </c>
      <c r="AI31" s="115">
        <v>0.25</v>
      </c>
    </row>
    <row r="32" spans="2:35" ht="19.5" customHeight="1">
      <c r="B32" s="332" t="s">
        <v>137</v>
      </c>
      <c r="C32" s="327"/>
      <c r="D32" s="327"/>
      <c r="E32" s="328"/>
      <c r="F32" s="389">
        <v>0.0033</v>
      </c>
      <c r="G32" s="381" t="str">
        <f>IF(F7="Escolha o tipo de obra","",IF(F32="","",IF(F32&lt;C33,"FORA DO LIMITE",IF(F32&gt;E33,"FORA DO LIMITE","OK"))))</f>
        <v>OK</v>
      </c>
      <c r="H32" s="383"/>
      <c r="I32" s="350"/>
      <c r="J32" s="351"/>
      <c r="K32" s="351"/>
      <c r="L32" s="351"/>
      <c r="M32" s="351"/>
      <c r="N32" s="352"/>
      <c r="Q32" s="121">
        <f ca="1">TODAY()</f>
        <v>45259</v>
      </c>
      <c r="S32" s="115">
        <v>0.008</v>
      </c>
      <c r="T32" s="115">
        <v>0.01</v>
      </c>
      <c r="W32" s="115">
        <v>0.0032</v>
      </c>
      <c r="X32" s="115">
        <v>0.0074</v>
      </c>
      <c r="AA32" s="115">
        <v>0.0028</v>
      </c>
      <c r="AB32" s="115">
        <v>0.0075</v>
      </c>
      <c r="AH32" s="115">
        <v>0.196</v>
      </c>
      <c r="AI32" s="115">
        <v>0.2423</v>
      </c>
    </row>
    <row r="33" spans="2:35" ht="19.5" customHeight="1" thickBot="1">
      <c r="B33" s="117" t="s">
        <v>135</v>
      </c>
      <c r="C33" s="118">
        <f>IF($F$7=$S$13,S32,IF($F$7=$S$14,W32,IF($F$7=$S$15,AA32,IF($F$7=$S$16,S38,IF($F$7=$S$17,W38,IF($F$7=$S$18,AA38,""))))))</f>
        <v>0.0032</v>
      </c>
      <c r="D33" s="119" t="s">
        <v>136</v>
      </c>
      <c r="E33" s="120">
        <f>IF($F$7=$S$13,T32,IF($F$7=$S$14,X32,IF($F$7=$S$15,AB32,IF($F$7=$S$16,T38,IF($F$7=$S$17,X38,IF($F$7=$S$18,AB38,""))))))</f>
        <v>0.0074</v>
      </c>
      <c r="F33" s="390"/>
      <c r="G33" s="353"/>
      <c r="H33" s="355"/>
      <c r="I33" s="353"/>
      <c r="J33" s="354"/>
      <c r="K33" s="354"/>
      <c r="L33" s="354"/>
      <c r="M33" s="354"/>
      <c r="N33" s="355"/>
      <c r="S33" s="115">
        <v>0.0097</v>
      </c>
      <c r="T33" s="115">
        <v>0.0127</v>
      </c>
      <c r="W33" s="115">
        <v>0.005</v>
      </c>
      <c r="X33" s="115">
        <v>0.0097</v>
      </c>
      <c r="AA33" s="115">
        <v>0.01</v>
      </c>
      <c r="AB33" s="115">
        <v>0.0174</v>
      </c>
      <c r="AH33" s="115">
        <v>0.2076</v>
      </c>
      <c r="AI33" s="115">
        <v>0.2644</v>
      </c>
    </row>
    <row r="34" spans="2:35" ht="19.5" customHeight="1">
      <c r="B34" s="332" t="s">
        <v>138</v>
      </c>
      <c r="C34" s="333"/>
      <c r="D34" s="333"/>
      <c r="E34" s="334"/>
      <c r="F34" s="389">
        <v>0.005</v>
      </c>
      <c r="G34" s="381" t="str">
        <f>IF(F7="Escolha o tipo de obra","",IF(F34="","",IF(F34&lt;C35,"FORA DO LIMITE",IF(F34&gt;E35,"FORA DO LIMITE","OK"))))</f>
        <v>OK</v>
      </c>
      <c r="H34" s="383"/>
      <c r="I34" s="381" t="s">
        <v>139</v>
      </c>
      <c r="J34" s="382"/>
      <c r="K34" s="382"/>
      <c r="L34" s="382"/>
      <c r="M34" s="382"/>
      <c r="N34" s="383"/>
      <c r="S34" s="115">
        <v>0.0059</v>
      </c>
      <c r="T34" s="115">
        <v>0.0139</v>
      </c>
      <c r="W34" s="115">
        <v>0.0102</v>
      </c>
      <c r="X34" s="115">
        <v>0.0121</v>
      </c>
      <c r="AA34" s="115">
        <v>0.0094</v>
      </c>
      <c r="AB34" s="115">
        <v>0.0117</v>
      </c>
      <c r="AH34" s="115">
        <v>0.24</v>
      </c>
      <c r="AI34" s="115">
        <v>0.2786</v>
      </c>
    </row>
    <row r="35" spans="2:35" ht="19.5" customHeight="1" thickBot="1">
      <c r="B35" s="117" t="s">
        <v>135</v>
      </c>
      <c r="C35" s="118">
        <f>IF($F$7=$S$13,S33,IF($F$7=$S$14,W33,IF($F$7=$S$15,AA33,IF($F$7=$S$16,S39,IF($F$7=$S$17,W39,IF($F$7=$S$18,AA39,""))))))</f>
        <v>0.005</v>
      </c>
      <c r="D35" s="119" t="s">
        <v>136</v>
      </c>
      <c r="E35" s="120">
        <f>IF($F$7=$S$13,T33,IF($F$7=$S$14,X33,IF($F$7=$S$15,AB33,IF($F$7=$S$16,T39,IF($F$7=$S$17,X39,IF($F$7=$S$18,AB39,""))))))</f>
        <v>0.0097</v>
      </c>
      <c r="F35" s="390"/>
      <c r="G35" s="353"/>
      <c r="H35" s="355"/>
      <c r="I35" s="350"/>
      <c r="J35" s="351"/>
      <c r="K35" s="351"/>
      <c r="L35" s="351"/>
      <c r="M35" s="351"/>
      <c r="N35" s="352"/>
      <c r="S35" s="115">
        <v>0.0616</v>
      </c>
      <c r="T35" s="115">
        <v>0.0896</v>
      </c>
      <c r="W35" s="115">
        <v>0.0664</v>
      </c>
      <c r="X35" s="115">
        <v>0.0869</v>
      </c>
      <c r="AA35" s="115">
        <v>0.0674</v>
      </c>
      <c r="AB35" s="115">
        <v>0.094</v>
      </c>
      <c r="AH35" s="115">
        <v>0.228</v>
      </c>
      <c r="AI35" s="115">
        <v>0.3095</v>
      </c>
    </row>
    <row r="36" spans="2:35" ht="19.5" customHeight="1">
      <c r="B36" s="332" t="s">
        <v>140</v>
      </c>
      <c r="C36" s="333"/>
      <c r="D36" s="333"/>
      <c r="E36" s="334"/>
      <c r="F36" s="389">
        <v>0.0102</v>
      </c>
      <c r="G36" s="381" t="str">
        <f>IF(F7="Escolha o tipo de obra","",IF(F36="","",IF(F36&lt;C37,"FORA DO LIMITE",IF(F36&gt;E37,"FORA DO LIMITE","OK"))))</f>
        <v>OK</v>
      </c>
      <c r="H36" s="383"/>
      <c r="I36" s="350"/>
      <c r="J36" s="351"/>
      <c r="K36" s="351"/>
      <c r="L36" s="351"/>
      <c r="M36" s="351"/>
      <c r="N36" s="352"/>
      <c r="S36" s="109" t="s">
        <v>141</v>
      </c>
      <c r="T36" s="115">
        <v>0.24</v>
      </c>
      <c r="U36" s="115">
        <v>0.2786</v>
      </c>
      <c r="W36" s="109" t="s">
        <v>142</v>
      </c>
      <c r="X36" s="115">
        <v>0.228</v>
      </c>
      <c r="Y36" s="115">
        <v>0.3095</v>
      </c>
      <c r="AA36" s="109" t="s">
        <v>143</v>
      </c>
      <c r="AB36" s="115">
        <v>0.111</v>
      </c>
      <c r="AC36" s="115">
        <v>0.168</v>
      </c>
      <c r="AH36" s="115">
        <v>0.111</v>
      </c>
      <c r="AI36" s="115">
        <v>0.168</v>
      </c>
    </row>
    <row r="37" spans="2:35" ht="19.5" customHeight="1" thickBot="1">
      <c r="B37" s="117" t="s">
        <v>135</v>
      </c>
      <c r="C37" s="118">
        <f>IF($F$7=$S$13,S34,IF($F$7=$S$14,W34,IF($F$7=$S$15,AA34,IF($F$7=$S$16,S40,IF($F$7=$S$17,W40,IF($F$7=$S$18,AA40,""))))))</f>
        <v>0.0102</v>
      </c>
      <c r="D37" s="119" t="s">
        <v>136</v>
      </c>
      <c r="E37" s="120">
        <f>IF($F$7=$S$13,T34,IF($F$7=$S$14,X34,IF($F$7=$S$15,AB34,IF($F$7=$S$16,T40,IF($F$7=$S$17,X40,IF($F$7=$S$18,AB40,""))))))</f>
        <v>0.0121</v>
      </c>
      <c r="F37" s="390"/>
      <c r="G37" s="353"/>
      <c r="H37" s="355"/>
      <c r="I37" s="350"/>
      <c r="J37" s="351"/>
      <c r="K37" s="351"/>
      <c r="L37" s="351"/>
      <c r="M37" s="351"/>
      <c r="N37" s="352"/>
      <c r="S37" s="115">
        <v>0.0529</v>
      </c>
      <c r="T37" s="115">
        <v>0.0793</v>
      </c>
      <c r="W37" s="115">
        <v>0.04</v>
      </c>
      <c r="X37" s="115">
        <v>0.0785</v>
      </c>
      <c r="AA37" s="115">
        <v>0.015</v>
      </c>
      <c r="AB37" s="115">
        <v>0.0449</v>
      </c>
      <c r="AH37" s="115"/>
      <c r="AI37" s="115"/>
    </row>
    <row r="38" spans="2:35" ht="19.5" customHeight="1">
      <c r="B38" s="332" t="s">
        <v>144</v>
      </c>
      <c r="C38" s="333"/>
      <c r="D38" s="333"/>
      <c r="E38" s="334"/>
      <c r="F38" s="389">
        <v>0.068</v>
      </c>
      <c r="G38" s="381" t="str">
        <f>IF(F7="Escolha o tipo de obra","",IF(F38="","",IF(F38&lt;C39,"FORA DO LIMITE",IF(F38&gt;E39,"FORA DO LIMITE","OK"))))</f>
        <v>OK</v>
      </c>
      <c r="H38" s="383"/>
      <c r="I38" s="381"/>
      <c r="J38" s="382"/>
      <c r="K38" s="382"/>
      <c r="L38" s="382"/>
      <c r="M38" s="382"/>
      <c r="N38" s="383"/>
      <c r="S38" s="115">
        <v>0.0025</v>
      </c>
      <c r="T38" s="115">
        <v>0.0056</v>
      </c>
      <c r="W38" s="115">
        <v>0.0081</v>
      </c>
      <c r="X38" s="115">
        <v>0.0199</v>
      </c>
      <c r="AA38" s="115">
        <v>0.003</v>
      </c>
      <c r="AB38" s="115">
        <v>0.0082</v>
      </c>
      <c r="AH38" s="115"/>
      <c r="AI38" s="115"/>
    </row>
    <row r="39" spans="2:35" ht="19.5" customHeight="1" thickBot="1">
      <c r="B39" s="117" t="s">
        <v>135</v>
      </c>
      <c r="C39" s="118">
        <f>IF($F$7=$S$13,S35,IF($F$7=$S$14,W35,IF($F$7=$S$15,AA35,IF($F$7=$S$16,S41,IF($F$7=$S$17,W41,IF($F$7=$S$18,AA41,""))))))</f>
        <v>0.0664</v>
      </c>
      <c r="D39" s="119" t="s">
        <v>136</v>
      </c>
      <c r="E39" s="120">
        <f>IF($F$7=$S$13,T35,IF($F$7=$S$14,X35,IF($F$7=$S$15,AB35,IF($F$7=$S$16,T41,IF($F$7=$S$17,X41,IF($F$7=$S$18,AB41,""))))))</f>
        <v>0.0869</v>
      </c>
      <c r="F39" s="390"/>
      <c r="G39" s="353"/>
      <c r="H39" s="355"/>
      <c r="I39" s="350"/>
      <c r="J39" s="351"/>
      <c r="K39" s="351"/>
      <c r="L39" s="351"/>
      <c r="M39" s="351"/>
      <c r="N39" s="352"/>
      <c r="S39" s="115">
        <v>0.01</v>
      </c>
      <c r="T39" s="115">
        <v>0.0197</v>
      </c>
      <c r="W39" s="115">
        <v>0.0146</v>
      </c>
      <c r="X39" s="115">
        <v>0.0316</v>
      </c>
      <c r="AA39" s="115">
        <v>0.0056</v>
      </c>
      <c r="AB39" s="115">
        <v>0.0089</v>
      </c>
      <c r="AH39" s="115"/>
      <c r="AI39" s="115"/>
    </row>
    <row r="40" spans="2:35" ht="19.5" customHeight="1" thickBot="1">
      <c r="B40" s="391" t="s">
        <v>145</v>
      </c>
      <c r="C40" s="392"/>
      <c r="D40" s="392"/>
      <c r="E40" s="393"/>
      <c r="F40" s="122">
        <v>0.0065</v>
      </c>
      <c r="G40" s="394" t="str">
        <f>IF(F7="Escolha o tipo de obra","",IF(F40="","",IF(F40&lt;&gt;0.0065,"Em geral deve ser 0,65%","OK")))</f>
        <v>OK</v>
      </c>
      <c r="H40" s="395"/>
      <c r="I40" s="351"/>
      <c r="J40" s="351"/>
      <c r="K40" s="351"/>
      <c r="L40" s="351"/>
      <c r="M40" s="351"/>
      <c r="N40" s="352"/>
      <c r="S40" s="115">
        <v>0.0101</v>
      </c>
      <c r="T40" s="115">
        <v>0.0111</v>
      </c>
      <c r="W40" s="115">
        <v>0.0094</v>
      </c>
      <c r="X40" s="115">
        <v>0.0133</v>
      </c>
      <c r="AA40" s="115">
        <v>0.0085</v>
      </c>
      <c r="AB40" s="115">
        <v>0.0111</v>
      </c>
      <c r="AH40" s="115"/>
      <c r="AI40" s="115"/>
    </row>
    <row r="41" spans="2:35" ht="19.5" customHeight="1" thickBot="1">
      <c r="B41" s="391" t="s">
        <v>146</v>
      </c>
      <c r="C41" s="392"/>
      <c r="D41" s="392"/>
      <c r="E41" s="393"/>
      <c r="F41" s="122">
        <v>0.03</v>
      </c>
      <c r="G41" s="400" t="str">
        <f>IF(F7="Escolha o tipo de obra","",IF(F41="","",IF(F41&lt;&gt;0.03,"Em geral deve ser 3,00%","OK")))</f>
        <v>OK</v>
      </c>
      <c r="H41" s="401"/>
      <c r="I41" s="351"/>
      <c r="J41" s="351"/>
      <c r="K41" s="351"/>
      <c r="L41" s="351"/>
      <c r="M41" s="351"/>
      <c r="N41" s="352"/>
      <c r="S41" s="115">
        <v>0.08</v>
      </c>
      <c r="T41" s="115">
        <v>0.0951</v>
      </c>
      <c r="W41" s="115">
        <v>0.0714</v>
      </c>
      <c r="X41" s="115">
        <v>0.1043</v>
      </c>
      <c r="AA41" s="115">
        <v>0.035</v>
      </c>
      <c r="AB41" s="115">
        <v>0.0622</v>
      </c>
      <c r="AH41" s="115"/>
      <c r="AI41" s="115"/>
    </row>
    <row r="42" spans="2:14" ht="19.5" customHeight="1" thickBot="1">
      <c r="B42" s="391" t="s">
        <v>147</v>
      </c>
      <c r="C42" s="392"/>
      <c r="D42" s="392"/>
      <c r="E42" s="393"/>
      <c r="F42" s="123">
        <v>0.02</v>
      </c>
      <c r="G42" s="400" t="str">
        <f>IF(F7="Escolha o tipo de obra","",IF(F42="","",IF(F42&gt;0.05,"FORA DO LIMITE","OK")))</f>
        <v>OK</v>
      </c>
      <c r="H42" s="401"/>
      <c r="I42" s="350"/>
      <c r="J42" s="351"/>
      <c r="K42" s="351"/>
      <c r="L42" s="351"/>
      <c r="M42" s="351"/>
      <c r="N42" s="352"/>
    </row>
    <row r="43" spans="2:14" ht="19.5" customHeight="1" thickBot="1">
      <c r="B43" s="391" t="s">
        <v>148</v>
      </c>
      <c r="C43" s="392"/>
      <c r="D43" s="392"/>
      <c r="E43" s="393"/>
      <c r="F43" s="124">
        <v>0.045</v>
      </c>
      <c r="G43" s="400" t="str">
        <f>IF(F10="Escolha o regime de contribuição","",IF(F10="DESONERADO","OK",IF(F10="ONERADO","OK")))</f>
        <v>OK</v>
      </c>
      <c r="H43" s="401"/>
      <c r="I43" s="353"/>
      <c r="J43" s="354"/>
      <c r="K43" s="354"/>
      <c r="L43" s="354"/>
      <c r="M43" s="354"/>
      <c r="N43" s="355"/>
    </row>
    <row r="44" spans="2:14" ht="12.75">
      <c r="B44" s="113"/>
      <c r="C44" s="113"/>
      <c r="D44" s="113"/>
      <c r="E44" s="113"/>
      <c r="F44" s="125"/>
      <c r="G44" s="111"/>
      <c r="H44" s="111"/>
      <c r="I44" s="111"/>
      <c r="J44" s="111"/>
      <c r="K44" s="111"/>
      <c r="L44" s="111"/>
      <c r="M44" s="111"/>
      <c r="N44" s="111"/>
    </row>
    <row r="45" spans="2:14" ht="12.75">
      <c r="B45" s="113"/>
      <c r="C45" s="113"/>
      <c r="D45" s="113"/>
      <c r="E45" s="113"/>
      <c r="F45" s="125"/>
      <c r="G45" s="111"/>
      <c r="H45" s="111"/>
      <c r="I45" s="111"/>
      <c r="J45" s="111"/>
      <c r="K45" s="111"/>
      <c r="L45" s="111"/>
      <c r="M45" s="111"/>
      <c r="N45" s="111"/>
    </row>
    <row r="46" spans="2:14" ht="12.75">
      <c r="B46" s="113"/>
      <c r="C46" s="113"/>
      <c r="D46" s="113"/>
      <c r="E46" s="113"/>
      <c r="F46" s="125"/>
      <c r="G46" s="111"/>
      <c r="H46" s="111"/>
      <c r="I46" s="111"/>
      <c r="J46" s="111"/>
      <c r="K46" s="111"/>
      <c r="L46" s="111"/>
      <c r="M46" s="111"/>
      <c r="N46" s="111"/>
    </row>
    <row r="47" ht="12.75"/>
    <row r="48" ht="12.75"/>
    <row r="49" spans="8:14" ht="12.75">
      <c r="H49" s="126"/>
      <c r="I49" s="127"/>
      <c r="J49" s="127"/>
      <c r="K49" s="127"/>
      <c r="L49" s="127"/>
      <c r="M49" s="127"/>
      <c r="N49" s="126"/>
    </row>
    <row r="50" spans="2:14" ht="12.75" customHeight="1">
      <c r="B50" s="396" t="s">
        <v>149</v>
      </c>
      <c r="C50" s="397"/>
      <c r="D50" s="397"/>
      <c r="E50" s="397"/>
      <c r="F50" s="397"/>
      <c r="G50" s="397"/>
      <c r="H50" s="126"/>
      <c r="I50" s="396" t="s">
        <v>150</v>
      </c>
      <c r="J50" s="396"/>
      <c r="K50" s="396"/>
      <c r="L50" s="396"/>
      <c r="M50" s="396"/>
      <c r="N50" s="128"/>
    </row>
    <row r="51" spans="2:14" ht="12.75">
      <c r="B51" s="398"/>
      <c r="C51" s="398"/>
      <c r="D51" s="398"/>
      <c r="E51" s="398"/>
      <c r="F51" s="398"/>
      <c r="G51" s="398"/>
      <c r="H51" s="126"/>
      <c r="I51" s="399"/>
      <c r="J51" s="399"/>
      <c r="K51" s="399"/>
      <c r="L51" s="399"/>
      <c r="M51" s="399"/>
      <c r="N51" s="128"/>
    </row>
    <row r="52" spans="2:14" ht="12.75">
      <c r="B52" s="129"/>
      <c r="C52" s="129"/>
      <c r="D52" s="129"/>
      <c r="E52" s="129"/>
      <c r="F52" s="129"/>
      <c r="G52" s="129"/>
      <c r="I52" s="129"/>
      <c r="J52" s="129"/>
      <c r="K52" s="129"/>
      <c r="L52" s="129"/>
      <c r="M52" s="129"/>
      <c r="N52" s="129"/>
    </row>
    <row r="53" spans="2:14" ht="1.5" customHeight="1" hidden="1">
      <c r="B53" s="129"/>
      <c r="C53" s="129"/>
      <c r="D53" s="129"/>
      <c r="E53" s="129"/>
      <c r="F53" s="129"/>
      <c r="G53" s="129"/>
      <c r="I53" s="129"/>
      <c r="J53" s="129"/>
      <c r="K53" s="129"/>
      <c r="L53" s="129"/>
      <c r="M53" s="129"/>
      <c r="N53" s="129"/>
    </row>
    <row r="54" spans="2:14" ht="12.75" hidden="1">
      <c r="B54" s="129"/>
      <c r="C54" s="129"/>
      <c r="D54" s="129"/>
      <c r="E54" s="129"/>
      <c r="F54" s="129"/>
      <c r="G54" s="129"/>
      <c r="I54" s="129"/>
      <c r="J54" s="129"/>
      <c r="K54" s="129"/>
      <c r="L54" s="129"/>
      <c r="M54" s="129"/>
      <c r="N54" s="129"/>
    </row>
    <row r="55" spans="2:14" ht="12.75" hidden="1">
      <c r="B55" s="129"/>
      <c r="C55" s="129"/>
      <c r="D55" s="129"/>
      <c r="E55" s="129"/>
      <c r="F55" s="129"/>
      <c r="G55" s="129"/>
      <c r="I55" s="129"/>
      <c r="J55" s="129"/>
      <c r="K55" s="129"/>
      <c r="L55" s="129"/>
      <c r="M55" s="129"/>
      <c r="N55" s="129"/>
    </row>
    <row r="56" spans="2:14" ht="12.75" hidden="1">
      <c r="B56" s="129"/>
      <c r="C56" s="129"/>
      <c r="D56" s="129"/>
      <c r="E56" s="129"/>
      <c r="F56" s="129"/>
      <c r="G56" s="129"/>
      <c r="I56" s="129"/>
      <c r="J56" s="129"/>
      <c r="K56" s="129"/>
      <c r="L56" s="129"/>
      <c r="M56" s="129"/>
      <c r="N56" s="129"/>
    </row>
    <row r="57" spans="2:14" ht="12.75" hidden="1">
      <c r="B57" s="129"/>
      <c r="C57" s="129"/>
      <c r="D57" s="129"/>
      <c r="E57" s="129"/>
      <c r="F57" s="129"/>
      <c r="G57" s="129"/>
      <c r="I57" s="129"/>
      <c r="J57" s="129"/>
      <c r="K57" s="129"/>
      <c r="L57" s="129"/>
      <c r="M57" s="129"/>
      <c r="N57" s="129"/>
    </row>
    <row r="58" spans="2:14" ht="12.75" hidden="1">
      <c r="B58" s="129"/>
      <c r="C58" s="129"/>
      <c r="D58" s="129"/>
      <c r="E58" s="129"/>
      <c r="F58" s="129"/>
      <c r="G58" s="129"/>
      <c r="I58" s="129"/>
      <c r="J58" s="129"/>
      <c r="K58" s="129"/>
      <c r="L58" s="129"/>
      <c r="M58" s="129"/>
      <c r="N58" s="129"/>
    </row>
    <row r="59" ht="12.75" hidden="1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</sheetData>
  <sheetProtection selectLockedCells="1"/>
  <mergeCells count="45">
    <mergeCell ref="B50:G51"/>
    <mergeCell ref="I50:M51"/>
    <mergeCell ref="B41:E41"/>
    <mergeCell ref="G41:H41"/>
    <mergeCell ref="B42:E42"/>
    <mergeCell ref="G42:H42"/>
    <mergeCell ref="B43:E43"/>
    <mergeCell ref="G43:H43"/>
    <mergeCell ref="I34:N37"/>
    <mergeCell ref="B36:E36"/>
    <mergeCell ref="F36:F37"/>
    <mergeCell ref="G36:H37"/>
    <mergeCell ref="B38:E38"/>
    <mergeCell ref="F38:F39"/>
    <mergeCell ref="G38:H39"/>
    <mergeCell ref="I38:N43"/>
    <mergeCell ref="B40:E40"/>
    <mergeCell ref="G40:H40"/>
    <mergeCell ref="G30:H31"/>
    <mergeCell ref="B32:E32"/>
    <mergeCell ref="F32:F33"/>
    <mergeCell ref="G32:H33"/>
    <mergeCell ref="B34:E34"/>
    <mergeCell ref="F34:F35"/>
    <mergeCell ref="G34:H35"/>
    <mergeCell ref="F10:H13"/>
    <mergeCell ref="B14:E19"/>
    <mergeCell ref="F14:H28"/>
    <mergeCell ref="B20:E28"/>
    <mergeCell ref="I27:N27"/>
    <mergeCell ref="I28:N33"/>
    <mergeCell ref="B29:E29"/>
    <mergeCell ref="G29:H29"/>
    <mergeCell ref="B30:E30"/>
    <mergeCell ref="F30:F31"/>
    <mergeCell ref="B2:G2"/>
    <mergeCell ref="H2:N2"/>
    <mergeCell ref="B3:G3"/>
    <mergeCell ref="H3:N3"/>
    <mergeCell ref="B5:N6"/>
    <mergeCell ref="B7:E9"/>
    <mergeCell ref="F7:H9"/>
    <mergeCell ref="I7:N7"/>
    <mergeCell ref="I8:N26"/>
    <mergeCell ref="B10:E13"/>
  </mergeCells>
  <conditionalFormatting sqref="F14">
    <cfRule type="cellIs" priority="6" dxfId="7" operator="equal" stopIfTrue="1">
      <formula>"OK"</formula>
    </cfRule>
    <cfRule type="cellIs" priority="7" dxfId="1" operator="equal" stopIfTrue="1">
      <formula>"FORA DA FAIXA"</formula>
    </cfRule>
    <cfRule type="cellIs" priority="8" dxfId="1" operator="equal" stopIfTrue="1">
      <formula>"VERIFICAR ITENS"</formula>
    </cfRule>
  </conditionalFormatting>
  <conditionalFormatting sqref="G30:G42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3:H46">
    <cfRule type="cellIs" priority="1" dxfId="2" operator="equal" stopIfTrue="1">
      <formula>"OK"</formula>
    </cfRule>
    <cfRule type="cellIs" priority="2" dxfId="1" operator="equal" stopIfTrue="1">
      <formula>"FORA DO LIMITE"</formula>
    </cfRule>
    <cfRule type="cellIs" priority="3" dxfId="0" operator="equal" stopIfTrue="1">
      <formula>"Deixar em branco o campo ao lado"</formula>
    </cfRule>
  </conditionalFormatting>
  <dataValidations count="3">
    <dataValidation type="list" allowBlank="1" showInputMessage="1" showErrorMessage="1" sqref="F10:H13">
      <formula1>$Q$7:$Q$9</formula1>
    </dataValidation>
    <dataValidation operator="equal" allowBlank="1" showInputMessage="1" showErrorMessage="1" errorTitle="Atenção" error="Alíquota de recolhimento da contribuição previdenciária deve ser de 2%." sqref="F43:F46"/>
    <dataValidation type="list" allowBlank="1" showInputMessage="1" showErrorMessage="1" sqref="F7:H8">
      <formula1>$S$12:$S$18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9" r:id="rId2"/>
  <headerFooter alignWithMargins="0">
    <oddFooter>&amp;L&amp;D&amp;R&amp;F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0" zoomScaleNormal="70" zoomScalePageLayoutView="0" workbookViewId="0" topLeftCell="A1">
      <pane xSplit="11" ySplit="10" topLeftCell="L11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J12" sqref="J12:J14"/>
    </sheetView>
  </sheetViews>
  <sheetFormatPr defaultColWidth="9.140625" defaultRowHeight="12.75"/>
  <cols>
    <col min="1" max="1" width="7.28125" style="0" customWidth="1"/>
    <col min="2" max="2" width="12.57421875" style="0" bestFit="1" customWidth="1"/>
    <col min="3" max="3" width="18.57421875" style="0" bestFit="1" customWidth="1"/>
    <col min="4" max="4" width="52.7109375" style="135" customWidth="1"/>
    <col min="5" max="5" width="6.28125" style="0" customWidth="1"/>
    <col min="6" max="6" width="11.8515625" style="200" customWidth="1"/>
    <col min="7" max="7" width="10.57421875" style="0" hidden="1" customWidth="1"/>
    <col min="8" max="8" width="11.7109375" style="0" customWidth="1"/>
    <col min="9" max="9" width="11.28125" style="0" customWidth="1"/>
    <col min="10" max="10" width="11.28125" style="16" customWidth="1"/>
    <col min="11" max="11" width="18.57421875" style="16" customWidth="1"/>
    <col min="12" max="12" width="5.57421875" style="140" customWidth="1"/>
    <col min="14" max="14" width="11.57421875" style="0" bestFit="1" customWidth="1"/>
  </cols>
  <sheetData>
    <row r="1" spans="1:11" ht="18">
      <c r="A1" s="257" t="s">
        <v>60</v>
      </c>
      <c r="B1" s="257"/>
      <c r="C1" s="257"/>
      <c r="D1" s="257"/>
      <c r="E1" s="257"/>
      <c r="F1" s="257"/>
      <c r="G1" s="257"/>
      <c r="H1" s="257"/>
      <c r="I1" s="257"/>
      <c r="J1" s="13"/>
      <c r="K1" s="204" t="s">
        <v>7</v>
      </c>
    </row>
    <row r="2" spans="1:11" ht="13.5" customHeight="1">
      <c r="A2" s="258" t="s">
        <v>80</v>
      </c>
      <c r="B2" s="259"/>
      <c r="C2" s="259"/>
      <c r="D2" s="259"/>
      <c r="E2" s="259"/>
      <c r="F2" s="259"/>
      <c r="G2" s="259"/>
      <c r="H2" s="259"/>
      <c r="I2" s="260"/>
      <c r="J2" s="9"/>
      <c r="K2" s="2"/>
    </row>
    <row r="3" spans="1:11" ht="12.75" customHeight="1">
      <c r="A3" s="261"/>
      <c r="B3" s="262"/>
      <c r="C3" s="262"/>
      <c r="D3" s="262"/>
      <c r="E3" s="262"/>
      <c r="F3" s="262"/>
      <c r="G3" s="262"/>
      <c r="H3" s="262"/>
      <c r="I3" s="263"/>
      <c r="J3" s="10"/>
      <c r="K3" s="15"/>
    </row>
    <row r="4" spans="1:11" ht="14.25" customHeight="1">
      <c r="A4" s="264" t="s">
        <v>5</v>
      </c>
      <c r="B4" s="265"/>
      <c r="C4" s="265"/>
      <c r="D4" s="268" t="s">
        <v>184</v>
      </c>
      <c r="E4" s="268"/>
      <c r="F4" s="268"/>
      <c r="G4" s="268"/>
      <c r="H4" s="268"/>
      <c r="I4" s="269"/>
      <c r="J4" s="8"/>
      <c r="K4" s="2" t="s">
        <v>9</v>
      </c>
    </row>
    <row r="5" spans="1:11" ht="18">
      <c r="A5" s="266"/>
      <c r="B5" s="267"/>
      <c r="C5" s="267"/>
      <c r="D5" s="270"/>
      <c r="E5" s="270"/>
      <c r="F5" s="270"/>
      <c r="G5" s="270"/>
      <c r="H5" s="270"/>
      <c r="I5" s="271"/>
      <c r="J5" s="14"/>
      <c r="K5" s="3" t="s">
        <v>258</v>
      </c>
    </row>
    <row r="6" spans="1:11" ht="15.75" customHeight="1">
      <c r="A6" s="272" t="s">
        <v>8</v>
      </c>
      <c r="B6" s="273"/>
      <c r="C6" s="274"/>
      <c r="D6" s="275" t="s">
        <v>292</v>
      </c>
      <c r="E6" s="276"/>
      <c r="F6" s="276"/>
      <c r="G6" s="276"/>
      <c r="H6" s="276"/>
      <c r="I6" s="276"/>
      <c r="J6" s="276"/>
      <c r="K6" s="277"/>
    </row>
    <row r="7" spans="1:11" ht="15.75">
      <c r="A7" s="278" t="s">
        <v>260</v>
      </c>
      <c r="B7" s="279"/>
      <c r="C7" s="280"/>
      <c r="D7" s="280"/>
      <c r="E7" s="280"/>
      <c r="F7" s="280"/>
      <c r="G7" s="280"/>
      <c r="H7" s="280"/>
      <c r="I7" s="280"/>
      <c r="J7" s="281"/>
      <c r="K7" s="282"/>
    </row>
    <row r="8" spans="1:11" ht="10.5" customHeight="1" thickBot="1">
      <c r="A8" s="5"/>
      <c r="B8" s="6"/>
      <c r="C8" s="6"/>
      <c r="D8" s="10"/>
      <c r="E8" s="6"/>
      <c r="F8" s="199"/>
      <c r="G8" s="6"/>
      <c r="H8" s="6"/>
      <c r="I8" s="6"/>
      <c r="J8" s="6"/>
      <c r="K8" s="7"/>
    </row>
    <row r="9" spans="1:11" ht="21" customHeight="1">
      <c r="A9" s="402" t="s">
        <v>0</v>
      </c>
      <c r="B9" s="285" t="s">
        <v>235</v>
      </c>
      <c r="C9" s="287" t="s">
        <v>88</v>
      </c>
      <c r="D9" s="287" t="s">
        <v>1</v>
      </c>
      <c r="E9" s="287" t="s">
        <v>2</v>
      </c>
      <c r="F9" s="287" t="s">
        <v>3</v>
      </c>
      <c r="G9" s="287" t="s">
        <v>6</v>
      </c>
      <c r="H9" s="287" t="s">
        <v>6</v>
      </c>
      <c r="I9" s="287" t="s">
        <v>10</v>
      </c>
      <c r="J9" s="287" t="s">
        <v>12</v>
      </c>
      <c r="K9" s="290" t="s">
        <v>245</v>
      </c>
    </row>
    <row r="10" spans="1:11" ht="20.25" customHeight="1">
      <c r="A10" s="403"/>
      <c r="B10" s="286"/>
      <c r="C10" s="288"/>
      <c r="D10" s="288"/>
      <c r="E10" s="288"/>
      <c r="F10" s="288"/>
      <c r="G10" s="288"/>
      <c r="H10" s="288"/>
      <c r="I10" s="288"/>
      <c r="J10" s="288"/>
      <c r="K10" s="291"/>
    </row>
    <row r="11" spans="1:11" ht="20.25" customHeight="1">
      <c r="A11" s="50" t="s">
        <v>13</v>
      </c>
      <c r="B11" s="205"/>
      <c r="C11" s="51"/>
      <c r="D11" s="130" t="s">
        <v>79</v>
      </c>
      <c r="E11" s="61"/>
      <c r="F11" s="62"/>
      <c r="G11" s="17"/>
      <c r="H11" s="17"/>
      <c r="I11" s="63"/>
      <c r="J11" s="64"/>
      <c r="K11" s="65"/>
    </row>
    <row r="12" spans="1:12" ht="20.25" customHeight="1">
      <c r="A12" s="52" t="s">
        <v>43</v>
      </c>
      <c r="B12" s="206" t="s">
        <v>231</v>
      </c>
      <c r="C12" s="66">
        <v>4813</v>
      </c>
      <c r="D12" s="53" t="s">
        <v>66</v>
      </c>
      <c r="E12" s="42" t="s">
        <v>15</v>
      </c>
      <c r="F12" s="67">
        <v>2.88</v>
      </c>
      <c r="G12" s="89"/>
      <c r="H12" s="44">
        <v>250</v>
      </c>
      <c r="I12" s="101">
        <v>0.2564</v>
      </c>
      <c r="J12" s="64">
        <f>H12+H12*I12</f>
        <v>314.1</v>
      </c>
      <c r="K12" s="91">
        <f>J12*F12</f>
        <v>904.6080000000001</v>
      </c>
      <c r="L12" s="150"/>
    </row>
    <row r="13" spans="1:12" ht="24">
      <c r="A13" s="52" t="s">
        <v>81</v>
      </c>
      <c r="B13" s="206" t="s">
        <v>255</v>
      </c>
      <c r="C13" s="66" t="s">
        <v>286</v>
      </c>
      <c r="D13" s="53" t="s">
        <v>287</v>
      </c>
      <c r="E13" s="42" t="s">
        <v>288</v>
      </c>
      <c r="F13" s="67">
        <f>F45</f>
        <v>1288</v>
      </c>
      <c r="G13" s="89"/>
      <c r="H13" s="44">
        <v>0.33</v>
      </c>
      <c r="I13" s="101">
        <v>0.2564</v>
      </c>
      <c r="J13" s="64">
        <f>H13+H13*I13</f>
        <v>0.41461200000000004</v>
      </c>
      <c r="K13" s="91">
        <f>J13*F13</f>
        <v>534.020256</v>
      </c>
      <c r="L13" s="150"/>
    </row>
    <row r="14" spans="1:12" ht="12.75">
      <c r="A14" s="54" t="s">
        <v>85</v>
      </c>
      <c r="B14" s="207" t="s">
        <v>255</v>
      </c>
      <c r="C14" s="100" t="s">
        <v>289</v>
      </c>
      <c r="D14" s="90" t="s">
        <v>290</v>
      </c>
      <c r="E14" s="49" t="s">
        <v>291</v>
      </c>
      <c r="F14" s="67">
        <v>4</v>
      </c>
      <c r="G14" s="89"/>
      <c r="H14" s="44">
        <v>677.6600000000001</v>
      </c>
      <c r="I14" s="101">
        <v>0.2564</v>
      </c>
      <c r="J14" s="64">
        <f>H14+H14*I14</f>
        <v>851.4120240000001</v>
      </c>
      <c r="K14" s="91">
        <f>J14*F14</f>
        <v>3405.6480960000004</v>
      </c>
      <c r="L14" s="150"/>
    </row>
    <row r="15" spans="1:13" ht="20.25" customHeight="1">
      <c r="A15" s="54"/>
      <c r="B15" s="207"/>
      <c r="C15" s="49"/>
      <c r="D15" s="131" t="s">
        <v>16</v>
      </c>
      <c r="E15" s="55"/>
      <c r="F15" s="69"/>
      <c r="G15" s="70"/>
      <c r="H15" s="153"/>
      <c r="I15" s="72"/>
      <c r="J15" s="73"/>
      <c r="K15" s="74">
        <f>SUM(K12:K14)</f>
        <v>4844.276352000001</v>
      </c>
      <c r="M15" t="s">
        <v>261</v>
      </c>
    </row>
    <row r="16" spans="1:11" ht="3" customHeight="1">
      <c r="A16" s="75"/>
      <c r="B16" s="76"/>
      <c r="C16" s="76"/>
      <c r="D16" s="132"/>
      <c r="E16" s="76"/>
      <c r="F16" s="77"/>
      <c r="G16" s="76"/>
      <c r="H16" s="154"/>
      <c r="I16" s="63"/>
      <c r="J16" s="78"/>
      <c r="K16" s="79"/>
    </row>
    <row r="17" spans="1:11" ht="20.25" customHeight="1">
      <c r="A17" s="50" t="s">
        <v>17</v>
      </c>
      <c r="B17" s="205"/>
      <c r="C17" s="49"/>
      <c r="D17" s="130" t="s">
        <v>71</v>
      </c>
      <c r="E17" s="80"/>
      <c r="F17" s="81"/>
      <c r="G17" s="80"/>
      <c r="H17" s="155"/>
      <c r="I17" s="63"/>
      <c r="J17" s="78"/>
      <c r="K17" s="82"/>
    </row>
    <row r="18" spans="1:12" s="135" customFormat="1" ht="27" customHeight="1">
      <c r="A18" s="136" t="s">
        <v>44</v>
      </c>
      <c r="B18" s="208" t="s">
        <v>231</v>
      </c>
      <c r="C18" s="137">
        <v>101114</v>
      </c>
      <c r="D18" s="53" t="s">
        <v>154</v>
      </c>
      <c r="E18" s="53" t="s">
        <v>18</v>
      </c>
      <c r="F18" s="138">
        <v>167</v>
      </c>
      <c r="G18" s="139"/>
      <c r="H18" s="157">
        <v>4.53</v>
      </c>
      <c r="I18" s="101">
        <v>0.2564</v>
      </c>
      <c r="J18" s="64">
        <f aca="true" t="shared" si="0" ref="J18:J23">H18+H18*I18</f>
        <v>5.691492</v>
      </c>
      <c r="K18" s="91">
        <f aca="true" t="shared" si="1" ref="K18:K23">J18*F18</f>
        <v>950.4791640000001</v>
      </c>
      <c r="L18" s="170"/>
    </row>
    <row r="19" spans="1:12" ht="27" customHeight="1">
      <c r="A19" s="52" t="s">
        <v>45</v>
      </c>
      <c r="B19" s="206" t="s">
        <v>231</v>
      </c>
      <c r="C19" s="100">
        <v>100575</v>
      </c>
      <c r="D19" s="53" t="s">
        <v>155</v>
      </c>
      <c r="E19" s="42" t="s">
        <v>21</v>
      </c>
      <c r="F19" s="67">
        <v>1449</v>
      </c>
      <c r="G19" s="89"/>
      <c r="H19" s="44">
        <v>0.14</v>
      </c>
      <c r="I19" s="101">
        <v>0.2564</v>
      </c>
      <c r="J19" s="64">
        <f t="shared" si="0"/>
        <v>0.17589600000000002</v>
      </c>
      <c r="K19" s="91">
        <f t="shared" si="1"/>
        <v>254.87330400000005</v>
      </c>
      <c r="L19" s="150"/>
    </row>
    <row r="20" spans="1:12" ht="20.25" customHeight="1">
      <c r="A20" s="52" t="s">
        <v>46</v>
      </c>
      <c r="B20" s="206" t="s">
        <v>232</v>
      </c>
      <c r="C20" s="42">
        <v>5502978</v>
      </c>
      <c r="D20" s="53" t="s">
        <v>73</v>
      </c>
      <c r="E20" s="42" t="s">
        <v>18</v>
      </c>
      <c r="F20" s="67">
        <v>167</v>
      </c>
      <c r="G20" s="89"/>
      <c r="H20" s="44">
        <v>4.8</v>
      </c>
      <c r="I20" s="101">
        <v>0.2564</v>
      </c>
      <c r="J20" s="64">
        <f t="shared" si="0"/>
        <v>6.03072</v>
      </c>
      <c r="K20" s="91">
        <f t="shared" si="1"/>
        <v>1007.13024</v>
      </c>
      <c r="L20" s="150"/>
    </row>
    <row r="21" spans="1:12" s="135" customFormat="1" ht="36">
      <c r="A21" s="136" t="s">
        <v>47</v>
      </c>
      <c r="B21" s="208" t="s">
        <v>232</v>
      </c>
      <c r="C21" s="53">
        <v>5915407</v>
      </c>
      <c r="D21" s="53" t="s">
        <v>156</v>
      </c>
      <c r="E21" s="53" t="s">
        <v>157</v>
      </c>
      <c r="F21" s="138">
        <f>658*1.65</f>
        <v>1085.7</v>
      </c>
      <c r="G21" s="139"/>
      <c r="H21" s="157">
        <v>2.6</v>
      </c>
      <c r="I21" s="101">
        <v>0.2564</v>
      </c>
      <c r="J21" s="64">
        <f t="shared" si="0"/>
        <v>3.26664</v>
      </c>
      <c r="K21" s="91">
        <f t="shared" si="1"/>
        <v>3546.5910480000002</v>
      </c>
      <c r="L21" s="170"/>
    </row>
    <row r="22" spans="1:12" s="135" customFormat="1" ht="34.5" customHeight="1">
      <c r="A22" s="136" t="s">
        <v>158</v>
      </c>
      <c r="B22" s="208" t="s">
        <v>231</v>
      </c>
      <c r="C22" s="53">
        <v>101132</v>
      </c>
      <c r="D22" s="53" t="s">
        <v>159</v>
      </c>
      <c r="E22" s="53" t="s">
        <v>41</v>
      </c>
      <c r="F22" s="138">
        <v>5</v>
      </c>
      <c r="G22" s="139"/>
      <c r="H22" s="157">
        <v>18.17</v>
      </c>
      <c r="I22" s="101">
        <v>0.2564</v>
      </c>
      <c r="J22" s="64">
        <f t="shared" si="0"/>
        <v>22.828788000000003</v>
      </c>
      <c r="K22" s="91">
        <f t="shared" si="1"/>
        <v>114.14394000000001</v>
      </c>
      <c r="L22" s="170"/>
    </row>
    <row r="23" spans="1:12" ht="36">
      <c r="A23" s="52" t="s">
        <v>160</v>
      </c>
      <c r="B23" s="206" t="s">
        <v>231</v>
      </c>
      <c r="C23" s="42">
        <v>102354</v>
      </c>
      <c r="D23" s="53" t="s">
        <v>161</v>
      </c>
      <c r="E23" s="42" t="s">
        <v>41</v>
      </c>
      <c r="F23" s="67">
        <v>5</v>
      </c>
      <c r="G23" s="89"/>
      <c r="H23" s="44">
        <v>144.91</v>
      </c>
      <c r="I23" s="101">
        <v>0.2564</v>
      </c>
      <c r="J23" s="64">
        <f t="shared" si="0"/>
        <v>182.064924</v>
      </c>
      <c r="K23" s="91">
        <f t="shared" si="1"/>
        <v>910.32462</v>
      </c>
      <c r="L23" s="150"/>
    </row>
    <row r="24" spans="1:13" ht="20.25" customHeight="1">
      <c r="A24" s="56"/>
      <c r="B24" s="209"/>
      <c r="C24" s="38"/>
      <c r="D24" s="131" t="s">
        <v>16</v>
      </c>
      <c r="E24" s="55"/>
      <c r="F24" s="69"/>
      <c r="G24" s="70"/>
      <c r="H24" s="165"/>
      <c r="I24" s="72"/>
      <c r="J24" s="73"/>
      <c r="K24" s="74">
        <f>SUM(K18:K23)</f>
        <v>6783.542316</v>
      </c>
      <c r="M24" t="s">
        <v>261</v>
      </c>
    </row>
    <row r="25" spans="1:11" ht="3" customHeight="1">
      <c r="A25" s="83"/>
      <c r="B25" s="84"/>
      <c r="C25" s="84"/>
      <c r="D25" s="133"/>
      <c r="E25" s="84"/>
      <c r="F25" s="77"/>
      <c r="G25" s="84"/>
      <c r="H25" s="166"/>
      <c r="I25" s="63"/>
      <c r="J25" s="78"/>
      <c r="K25" s="79"/>
    </row>
    <row r="26" spans="1:11" ht="20.25" customHeight="1">
      <c r="A26" s="50" t="s">
        <v>42</v>
      </c>
      <c r="B26" s="205"/>
      <c r="C26" s="38"/>
      <c r="D26" s="134" t="s">
        <v>40</v>
      </c>
      <c r="E26" s="38"/>
      <c r="F26" s="85"/>
      <c r="G26" s="17"/>
      <c r="H26" s="167"/>
      <c r="I26" s="63"/>
      <c r="J26" s="64"/>
      <c r="K26" s="68">
        <f aca="true" t="shared" si="2" ref="K26:K36">J26*F26</f>
        <v>0</v>
      </c>
    </row>
    <row r="27" spans="1:12" ht="48">
      <c r="A27" s="52" t="s">
        <v>48</v>
      </c>
      <c r="B27" s="206" t="s">
        <v>231</v>
      </c>
      <c r="C27" s="42">
        <v>102314</v>
      </c>
      <c r="D27" s="53" t="s">
        <v>162</v>
      </c>
      <c r="E27" s="42" t="s">
        <v>41</v>
      </c>
      <c r="F27" s="67">
        <v>290</v>
      </c>
      <c r="G27" s="17"/>
      <c r="H27" s="44">
        <v>8.94</v>
      </c>
      <c r="I27" s="101">
        <v>0.2564</v>
      </c>
      <c r="J27" s="64">
        <f aca="true" t="shared" si="3" ref="J27:J36">H27+H27*I27</f>
        <v>11.232216</v>
      </c>
      <c r="K27" s="68">
        <f t="shared" si="2"/>
        <v>3257.34264</v>
      </c>
      <c r="L27" s="150"/>
    </row>
    <row r="28" spans="1:12" ht="30.75" customHeight="1">
      <c r="A28" s="52" t="s">
        <v>49</v>
      </c>
      <c r="B28" s="206" t="s">
        <v>92</v>
      </c>
      <c r="C28" s="42">
        <v>102354</v>
      </c>
      <c r="D28" s="53" t="s">
        <v>262</v>
      </c>
      <c r="E28" s="42" t="s">
        <v>41</v>
      </c>
      <c r="F28" s="67">
        <v>5.66</v>
      </c>
      <c r="G28" s="17"/>
      <c r="H28" s="44">
        <v>144.91</v>
      </c>
      <c r="I28" s="101">
        <v>0.2564</v>
      </c>
      <c r="J28" s="64">
        <f>H28+H28*I28</f>
        <v>182.064924</v>
      </c>
      <c r="K28" s="68">
        <f>J28*F28</f>
        <v>1030.48746984</v>
      </c>
      <c r="L28" s="150"/>
    </row>
    <row r="29" spans="1:12" ht="30.75" customHeight="1">
      <c r="A29" s="52" t="s">
        <v>50</v>
      </c>
      <c r="B29" s="206" t="s">
        <v>240</v>
      </c>
      <c r="C29" s="42" t="s">
        <v>263</v>
      </c>
      <c r="D29" s="53" t="s">
        <v>264</v>
      </c>
      <c r="E29" s="42" t="s">
        <v>41</v>
      </c>
      <c r="F29" s="67">
        <f>(0.2+0.4+0.2)*0.1*(F33+F34)</f>
        <v>12.560000000000002</v>
      </c>
      <c r="G29" s="17"/>
      <c r="H29" s="44">
        <v>140.95</v>
      </c>
      <c r="I29" s="101">
        <v>0.2564</v>
      </c>
      <c r="J29" s="64">
        <f>H29+H29*I29</f>
        <v>177.08957999999998</v>
      </c>
      <c r="K29" s="68">
        <f>J29*F29</f>
        <v>2224.2451248</v>
      </c>
      <c r="L29" s="150"/>
    </row>
    <row r="30" spans="1:12" ht="60">
      <c r="A30" s="52" t="s">
        <v>51</v>
      </c>
      <c r="B30" s="206" t="s">
        <v>92</v>
      </c>
      <c r="C30" s="42" t="s">
        <v>265</v>
      </c>
      <c r="D30" s="53" t="s">
        <v>266</v>
      </c>
      <c r="E30" s="42" t="s">
        <v>210</v>
      </c>
      <c r="F30" s="67">
        <v>219.54</v>
      </c>
      <c r="G30" s="43"/>
      <c r="H30" s="44">
        <v>12.84</v>
      </c>
      <c r="I30" s="101">
        <v>0.2564</v>
      </c>
      <c r="J30" s="64">
        <f t="shared" si="3"/>
        <v>16.132176</v>
      </c>
      <c r="K30" s="68">
        <f t="shared" si="2"/>
        <v>3541.6579190400003</v>
      </c>
      <c r="L30" s="150"/>
    </row>
    <row r="31" spans="1:12" ht="27" customHeight="1">
      <c r="A31" s="52" t="s">
        <v>75</v>
      </c>
      <c r="B31" s="206" t="s">
        <v>232</v>
      </c>
      <c r="C31" s="42">
        <v>4805754</v>
      </c>
      <c r="D31" s="53" t="s">
        <v>76</v>
      </c>
      <c r="E31" s="42" t="s">
        <v>18</v>
      </c>
      <c r="F31" s="67">
        <v>219.54</v>
      </c>
      <c r="G31" s="43"/>
      <c r="H31" s="44">
        <v>6.73</v>
      </c>
      <c r="I31" s="101">
        <v>0.2564</v>
      </c>
      <c r="J31" s="64">
        <f t="shared" si="3"/>
        <v>8.455572</v>
      </c>
      <c r="K31" s="68">
        <f t="shared" si="2"/>
        <v>1856.33627688</v>
      </c>
      <c r="L31" s="150"/>
    </row>
    <row r="32" spans="1:12" ht="38.25" customHeight="1">
      <c r="A32" s="52" t="s">
        <v>83</v>
      </c>
      <c r="B32" s="206" t="s">
        <v>232</v>
      </c>
      <c r="C32" s="53">
        <v>2003623</v>
      </c>
      <c r="D32" s="53" t="s">
        <v>163</v>
      </c>
      <c r="E32" s="45" t="s">
        <v>20</v>
      </c>
      <c r="F32" s="67">
        <v>4</v>
      </c>
      <c r="G32" s="43"/>
      <c r="H32" s="44">
        <v>2597.98</v>
      </c>
      <c r="I32" s="101">
        <v>0.2564</v>
      </c>
      <c r="J32" s="64">
        <f t="shared" si="3"/>
        <v>3264.102072</v>
      </c>
      <c r="K32" s="68">
        <f t="shared" si="2"/>
        <v>13056.408288</v>
      </c>
      <c r="L32" s="150"/>
    </row>
    <row r="33" spans="1:12" s="220" customFormat="1" ht="60">
      <c r="A33" s="52" t="s">
        <v>170</v>
      </c>
      <c r="B33" s="207" t="s">
        <v>92</v>
      </c>
      <c r="C33" s="49" t="s">
        <v>269</v>
      </c>
      <c r="D33" s="90" t="s">
        <v>270</v>
      </c>
      <c r="E33" s="234" t="s">
        <v>208</v>
      </c>
      <c r="F33" s="107">
        <f>73+36</f>
        <v>109</v>
      </c>
      <c r="G33" s="17"/>
      <c r="H33" s="167">
        <v>98.07</v>
      </c>
      <c r="I33" s="216">
        <v>0.2564</v>
      </c>
      <c r="J33" s="217">
        <f t="shared" si="3"/>
        <v>123.215148</v>
      </c>
      <c r="K33" s="218">
        <f t="shared" si="2"/>
        <v>13430.451132</v>
      </c>
      <c r="L33" s="219"/>
    </row>
    <row r="34" spans="1:12" s="220" customFormat="1" ht="50.25" customHeight="1">
      <c r="A34" s="52" t="s">
        <v>267</v>
      </c>
      <c r="B34" s="207" t="s">
        <v>231</v>
      </c>
      <c r="C34" s="49" t="s">
        <v>252</v>
      </c>
      <c r="D34" s="90" t="s">
        <v>253</v>
      </c>
      <c r="E34" s="234" t="s">
        <v>254</v>
      </c>
      <c r="F34" s="81">
        <f>23+25</f>
        <v>48</v>
      </c>
      <c r="G34" s="17"/>
      <c r="H34" s="167">
        <v>84.74</v>
      </c>
      <c r="I34" s="216">
        <v>0.2564</v>
      </c>
      <c r="J34" s="217">
        <f t="shared" si="3"/>
        <v>106.46733599999999</v>
      </c>
      <c r="K34" s="218">
        <f t="shared" si="2"/>
        <v>5110.4321279999995</v>
      </c>
      <c r="L34" s="219"/>
    </row>
    <row r="35" spans="1:12" s="220" customFormat="1" ht="50.25" customHeight="1">
      <c r="A35" s="52" t="s">
        <v>268</v>
      </c>
      <c r="B35" s="207" t="s">
        <v>92</v>
      </c>
      <c r="C35" s="49" t="s">
        <v>271</v>
      </c>
      <c r="D35" s="90" t="s">
        <v>272</v>
      </c>
      <c r="E35" s="234" t="s">
        <v>208</v>
      </c>
      <c r="F35" s="81">
        <f>F34</f>
        <v>48</v>
      </c>
      <c r="G35" s="17"/>
      <c r="H35" s="167">
        <v>73.57</v>
      </c>
      <c r="I35" s="216">
        <v>0.2564</v>
      </c>
      <c r="J35" s="217">
        <f>H35+H35*I35</f>
        <v>92.433348</v>
      </c>
      <c r="K35" s="218">
        <f>J35*F35</f>
        <v>4436.800703999999</v>
      </c>
      <c r="L35" s="219"/>
    </row>
    <row r="36" spans="1:12" ht="30.75" customHeight="1">
      <c r="A36" s="52" t="s">
        <v>268</v>
      </c>
      <c r="B36" s="206" t="s">
        <v>233</v>
      </c>
      <c r="C36" s="42" t="s">
        <v>234</v>
      </c>
      <c r="D36" s="251" t="str">
        <f>'[4]Composições'!$D$52</f>
        <v>PEDRA BRITADA N. 2 (19 A 38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36" s="45" t="s">
        <v>20</v>
      </c>
      <c r="F36" s="67">
        <v>4</v>
      </c>
      <c r="G36" s="43"/>
      <c r="H36" s="44">
        <v>1289.0900000000001</v>
      </c>
      <c r="I36" s="101">
        <v>0.2564</v>
      </c>
      <c r="J36" s="64">
        <f t="shared" si="3"/>
        <v>1619.6126760000002</v>
      </c>
      <c r="K36" s="68">
        <f t="shared" si="2"/>
        <v>6478.450704000001</v>
      </c>
      <c r="L36" s="150"/>
    </row>
    <row r="37" spans="1:13" ht="37.5" customHeight="1">
      <c r="A37" s="54"/>
      <c r="B37" s="207"/>
      <c r="C37" s="38"/>
      <c r="D37" s="131" t="s">
        <v>16</v>
      </c>
      <c r="E37" s="55"/>
      <c r="F37" s="69"/>
      <c r="G37" s="70"/>
      <c r="H37" s="165"/>
      <c r="I37" s="72"/>
      <c r="J37" s="73"/>
      <c r="K37" s="86">
        <f>SUM(K27:K36)</f>
        <v>54422.61238656001</v>
      </c>
      <c r="M37" s="16" t="s">
        <v>285</v>
      </c>
    </row>
    <row r="38" spans="1:11" ht="4.5" customHeight="1">
      <c r="A38" s="54"/>
      <c r="B38" s="207"/>
      <c r="C38" s="38"/>
      <c r="D38" s="131"/>
      <c r="E38" s="55"/>
      <c r="F38" s="69"/>
      <c r="G38" s="70"/>
      <c r="H38" s="165"/>
      <c r="I38" s="72"/>
      <c r="J38" s="73"/>
      <c r="K38" s="86"/>
    </row>
    <row r="39" spans="1:11" ht="20.25" customHeight="1">
      <c r="A39" s="50" t="s">
        <v>19</v>
      </c>
      <c r="B39" s="205"/>
      <c r="C39" s="38"/>
      <c r="D39" s="134" t="s">
        <v>38</v>
      </c>
      <c r="E39" s="38"/>
      <c r="F39" s="67"/>
      <c r="G39" s="17"/>
      <c r="H39" s="167"/>
      <c r="I39" s="63"/>
      <c r="J39" s="64"/>
      <c r="K39" s="68"/>
    </row>
    <row r="40" spans="1:15" ht="20.25" customHeight="1">
      <c r="A40" s="52" t="s">
        <v>52</v>
      </c>
      <c r="B40" s="206" t="s">
        <v>231</v>
      </c>
      <c r="C40" s="42">
        <v>100576</v>
      </c>
      <c r="D40" s="53" t="s">
        <v>249</v>
      </c>
      <c r="E40" s="42" t="s">
        <v>15</v>
      </c>
      <c r="F40" s="67">
        <v>1288</v>
      </c>
      <c r="G40" s="43"/>
      <c r="H40" s="44">
        <v>2.52</v>
      </c>
      <c r="I40" s="101">
        <v>0.2564</v>
      </c>
      <c r="J40" s="64">
        <f aca="true" t="shared" si="4" ref="J40:J52">H40+H40*I40</f>
        <v>3.166128</v>
      </c>
      <c r="K40" s="68">
        <f aca="true" t="shared" si="5" ref="K40:K53">J40*F40</f>
        <v>4077.972864</v>
      </c>
      <c r="L40" s="150"/>
      <c r="N40" s="16" t="s">
        <v>250</v>
      </c>
      <c r="O40" s="16" t="s">
        <v>251</v>
      </c>
    </row>
    <row r="41" spans="1:15" ht="36">
      <c r="A41" s="54" t="s">
        <v>53</v>
      </c>
      <c r="B41" s="207" t="s">
        <v>255</v>
      </c>
      <c r="C41" s="49" t="s">
        <v>273</v>
      </c>
      <c r="D41" s="252" t="s">
        <v>274</v>
      </c>
      <c r="E41" s="49" t="s">
        <v>210</v>
      </c>
      <c r="F41" s="81">
        <f>N41</f>
        <v>204.51</v>
      </c>
      <c r="G41" s="17"/>
      <c r="H41" s="167">
        <v>121.74999999999999</v>
      </c>
      <c r="I41" s="216">
        <v>0.2564</v>
      </c>
      <c r="J41" s="217">
        <f t="shared" si="4"/>
        <v>152.96669999999997</v>
      </c>
      <c r="K41" s="218">
        <f t="shared" si="5"/>
        <v>31283.219816999994</v>
      </c>
      <c r="L41" s="150"/>
      <c r="N41" s="249">
        <f>ROUND(0.15/3*(1338+1389+SQRT(1338*1389)),2)</f>
        <v>204.51</v>
      </c>
      <c r="O41" s="248"/>
    </row>
    <row r="42" spans="1:12" ht="37.5" customHeight="1">
      <c r="A42" s="52" t="s">
        <v>54</v>
      </c>
      <c r="B42" s="206" t="s">
        <v>231</v>
      </c>
      <c r="C42" s="42">
        <v>93593</v>
      </c>
      <c r="D42" s="53" t="s">
        <v>187</v>
      </c>
      <c r="E42" s="42" t="s">
        <v>68</v>
      </c>
      <c r="F42" s="67">
        <f>(F41+F44)*26</f>
        <v>10437.699999999999</v>
      </c>
      <c r="G42" s="43"/>
      <c r="H42" s="44">
        <v>0.85</v>
      </c>
      <c r="I42" s="101">
        <v>0.2564</v>
      </c>
      <c r="J42" s="64">
        <f t="shared" si="4"/>
        <v>1.06794</v>
      </c>
      <c r="K42" s="68">
        <f t="shared" si="5"/>
        <v>11146.837337999998</v>
      </c>
      <c r="L42" s="150"/>
    </row>
    <row r="43" spans="1:12" ht="41.25" customHeight="1">
      <c r="A43" s="52" t="s">
        <v>55</v>
      </c>
      <c r="B43" s="206" t="s">
        <v>231</v>
      </c>
      <c r="C43" s="42">
        <v>100974</v>
      </c>
      <c r="D43" s="53" t="s">
        <v>199</v>
      </c>
      <c r="E43" s="42" t="s">
        <v>18</v>
      </c>
      <c r="F43" s="67">
        <f>(F41+F44)</f>
        <v>401.45</v>
      </c>
      <c r="G43" s="43"/>
      <c r="H43" s="44">
        <v>8.83</v>
      </c>
      <c r="I43" s="101">
        <v>0.2564</v>
      </c>
      <c r="J43" s="64">
        <f t="shared" si="4"/>
        <v>11.094012</v>
      </c>
      <c r="K43" s="68">
        <f t="shared" si="5"/>
        <v>4453.6911174</v>
      </c>
      <c r="L43" s="150"/>
    </row>
    <row r="44" spans="1:15" ht="36">
      <c r="A44" s="54" t="s">
        <v>56</v>
      </c>
      <c r="B44" s="207" t="s">
        <v>255</v>
      </c>
      <c r="C44" s="49" t="s">
        <v>256</v>
      </c>
      <c r="D44" s="252" t="s">
        <v>295</v>
      </c>
      <c r="E44" s="49" t="s">
        <v>18</v>
      </c>
      <c r="F44" s="81">
        <f>217-O44</f>
        <v>196.94</v>
      </c>
      <c r="G44" s="17"/>
      <c r="H44" s="167">
        <v>141.05</v>
      </c>
      <c r="I44" s="216">
        <v>0.2564</v>
      </c>
      <c r="J44" s="217">
        <f t="shared" si="4"/>
        <v>177.21522000000002</v>
      </c>
      <c r="K44" s="218">
        <f t="shared" si="5"/>
        <v>34900.765426800004</v>
      </c>
      <c r="L44" s="150"/>
      <c r="N44">
        <f>ROUND(0.15/3*(1288+1338+SQRT(1288*1338)),2)</f>
        <v>196.94</v>
      </c>
      <c r="O44" s="248">
        <f>217-N44</f>
        <v>20.060000000000002</v>
      </c>
    </row>
    <row r="45" spans="1:12" s="16" customFormat="1" ht="28.5" customHeight="1">
      <c r="A45" s="253" t="s">
        <v>238</v>
      </c>
      <c r="B45" s="207" t="s">
        <v>240</v>
      </c>
      <c r="C45" s="49">
        <v>4011353</v>
      </c>
      <c r="D45" s="90" t="s">
        <v>275</v>
      </c>
      <c r="E45" s="49" t="s">
        <v>243</v>
      </c>
      <c r="F45" s="107">
        <v>1288</v>
      </c>
      <c r="G45" s="17"/>
      <c r="H45" s="167">
        <v>0.27</v>
      </c>
      <c r="I45" s="216">
        <v>0.2564</v>
      </c>
      <c r="J45" s="217">
        <f>H45+H45*I45</f>
        <v>0.33922800000000003</v>
      </c>
      <c r="K45" s="218">
        <f t="shared" si="5"/>
        <v>436.92566400000004</v>
      </c>
      <c r="L45" s="150"/>
    </row>
    <row r="46" spans="1:15" s="16" customFormat="1" ht="28.5" customHeight="1">
      <c r="A46" s="253" t="s">
        <v>239</v>
      </c>
      <c r="B46" s="207" t="s">
        <v>236</v>
      </c>
      <c r="C46" s="49" t="s">
        <v>276</v>
      </c>
      <c r="D46" s="90" t="s">
        <v>277</v>
      </c>
      <c r="E46" s="49" t="s">
        <v>278</v>
      </c>
      <c r="F46" s="107">
        <f>0.00045*F45</f>
        <v>0.5796</v>
      </c>
      <c r="G46" s="17"/>
      <c r="H46" s="167">
        <f>(2.35348133356061*1000)/(1-(17/100))</f>
        <v>2835.519678988687</v>
      </c>
      <c r="I46" s="216">
        <v>0.15</v>
      </c>
      <c r="J46" s="217">
        <f>H46+H46*I46</f>
        <v>3260.84763083699</v>
      </c>
      <c r="K46" s="218">
        <f t="shared" si="5"/>
        <v>1889.9872868331195</v>
      </c>
      <c r="L46" s="150"/>
      <c r="O46" s="16">
        <v>1288</v>
      </c>
    </row>
    <row r="47" spans="1:15" ht="36">
      <c r="A47" s="54" t="s">
        <v>63</v>
      </c>
      <c r="B47" s="207" t="s">
        <v>279</v>
      </c>
      <c r="C47" s="49" t="s">
        <v>280</v>
      </c>
      <c r="D47" s="90" t="s">
        <v>281</v>
      </c>
      <c r="E47" s="49" t="s">
        <v>278</v>
      </c>
      <c r="F47" s="81">
        <f>F46</f>
        <v>0.5796</v>
      </c>
      <c r="G47" s="17"/>
      <c r="H47" s="167">
        <f>(26.939+0.253*388)</f>
        <v>125.10300000000001</v>
      </c>
      <c r="I47" s="216">
        <v>0.15</v>
      </c>
      <c r="J47" s="217">
        <f t="shared" si="4"/>
        <v>143.86845</v>
      </c>
      <c r="K47" s="218">
        <f t="shared" si="5"/>
        <v>83.38615362</v>
      </c>
      <c r="L47" s="150"/>
      <c r="N47">
        <v>0.00045</v>
      </c>
      <c r="O47">
        <v>0.58</v>
      </c>
    </row>
    <row r="48" spans="1:15" s="220" customFormat="1" ht="12.75">
      <c r="A48" s="253" t="s">
        <v>223</v>
      </c>
      <c r="B48" s="207" t="s">
        <v>240</v>
      </c>
      <c r="C48" s="90">
        <v>4011351</v>
      </c>
      <c r="D48" s="90" t="s">
        <v>282</v>
      </c>
      <c r="E48" s="49" t="s">
        <v>21</v>
      </c>
      <c r="F48" s="81">
        <f>F45</f>
        <v>1288</v>
      </c>
      <c r="G48" s="17"/>
      <c r="H48" s="167">
        <v>0.36</v>
      </c>
      <c r="I48" s="216">
        <v>0.2564</v>
      </c>
      <c r="J48" s="217">
        <f t="shared" si="4"/>
        <v>0.452304</v>
      </c>
      <c r="K48" s="218">
        <f t="shared" si="5"/>
        <v>582.567552</v>
      </c>
      <c r="L48" s="219"/>
      <c r="N48" s="250">
        <v>0.0012</v>
      </c>
      <c r="O48" s="220">
        <v>1.55</v>
      </c>
    </row>
    <row r="49" spans="1:14" s="220" customFormat="1" ht="24">
      <c r="A49" s="253"/>
      <c r="B49" s="207" t="s">
        <v>236</v>
      </c>
      <c r="C49" s="90" t="s">
        <v>276</v>
      </c>
      <c r="D49" s="90" t="s">
        <v>283</v>
      </c>
      <c r="E49" s="49" t="s">
        <v>157</v>
      </c>
      <c r="F49" s="81">
        <f>F48*0.0012</f>
        <v>1.5455999999999999</v>
      </c>
      <c r="G49" s="17"/>
      <c r="H49" s="167">
        <f>(2.53387709801814*1000)/(1-0.17)</f>
        <v>3052.8639735158317</v>
      </c>
      <c r="I49" s="216">
        <v>0.15</v>
      </c>
      <c r="J49" s="217">
        <f>H49+H49*I49</f>
        <v>3510.7935695432066</v>
      </c>
      <c r="K49" s="218">
        <f>J49*F49</f>
        <v>5426.28254108598</v>
      </c>
      <c r="L49" s="219"/>
      <c r="N49" s="250"/>
    </row>
    <row r="50" spans="1:14" s="220" customFormat="1" ht="36">
      <c r="A50" s="253"/>
      <c r="B50" s="207" t="s">
        <v>279</v>
      </c>
      <c r="C50" s="90" t="s">
        <v>280</v>
      </c>
      <c r="D50" s="90" t="s">
        <v>284</v>
      </c>
      <c r="E50" s="49" t="s">
        <v>278</v>
      </c>
      <c r="F50" s="81">
        <f>F49</f>
        <v>1.5455999999999999</v>
      </c>
      <c r="G50" s="17"/>
      <c r="H50" s="167">
        <f>(26.939+0.253*388)</f>
        <v>125.10300000000001</v>
      </c>
      <c r="I50" s="216">
        <v>0.15</v>
      </c>
      <c r="J50" s="217">
        <f>H50+H50*I50</f>
        <v>143.86845</v>
      </c>
      <c r="K50" s="218">
        <f>J50*F50</f>
        <v>222.36307631999998</v>
      </c>
      <c r="L50" s="219"/>
      <c r="N50" s="250"/>
    </row>
    <row r="51" spans="1:12" s="220" customFormat="1" ht="39" customHeight="1">
      <c r="A51" s="54" t="s">
        <v>64</v>
      </c>
      <c r="B51" s="207" t="s">
        <v>92</v>
      </c>
      <c r="C51" s="49">
        <v>95995</v>
      </c>
      <c r="D51" s="90" t="s">
        <v>200</v>
      </c>
      <c r="E51" s="49" t="s">
        <v>18</v>
      </c>
      <c r="F51" s="81">
        <f>F45*0.05</f>
        <v>64.4</v>
      </c>
      <c r="G51" s="17"/>
      <c r="H51" s="167">
        <v>1528.17</v>
      </c>
      <c r="I51" s="216">
        <v>0.2564</v>
      </c>
      <c r="J51" s="217">
        <f t="shared" si="4"/>
        <v>1919.992788</v>
      </c>
      <c r="K51" s="218">
        <f t="shared" si="5"/>
        <v>123647.53554720001</v>
      </c>
      <c r="L51" s="219"/>
    </row>
    <row r="52" spans="1:12" s="220" customFormat="1" ht="37.5" customHeight="1">
      <c r="A52" s="54" t="s">
        <v>72</v>
      </c>
      <c r="B52" s="207" t="s">
        <v>92</v>
      </c>
      <c r="C52" s="105">
        <v>93588</v>
      </c>
      <c r="D52" s="106" t="s">
        <v>188</v>
      </c>
      <c r="E52" s="49" t="s">
        <v>68</v>
      </c>
      <c r="F52" s="81">
        <f>F51*26</f>
        <v>1674.4</v>
      </c>
      <c r="G52" s="17"/>
      <c r="H52" s="167">
        <v>3.07</v>
      </c>
      <c r="I52" s="216">
        <v>0.2564</v>
      </c>
      <c r="J52" s="217">
        <f t="shared" si="4"/>
        <v>3.8571479999999996</v>
      </c>
      <c r="K52" s="218">
        <f t="shared" si="5"/>
        <v>6458.4086111999995</v>
      </c>
      <c r="L52" s="219"/>
    </row>
    <row r="53" spans="1:12" s="220" customFormat="1" ht="37.5" customHeight="1">
      <c r="A53" s="54" t="s">
        <v>190</v>
      </c>
      <c r="B53" s="207" t="s">
        <v>92</v>
      </c>
      <c r="C53" s="105">
        <v>102498</v>
      </c>
      <c r="D53" s="106" t="s">
        <v>191</v>
      </c>
      <c r="E53" s="49" t="s">
        <v>14</v>
      </c>
      <c r="F53" s="81">
        <f>F54</f>
        <v>326</v>
      </c>
      <c r="G53" s="17"/>
      <c r="H53" s="167">
        <v>1.56</v>
      </c>
      <c r="I53" s="216">
        <v>0.2564</v>
      </c>
      <c r="J53" s="217">
        <f>H53+H53*I53</f>
        <v>1.9599840000000002</v>
      </c>
      <c r="K53" s="218">
        <f t="shared" si="5"/>
        <v>638.954784</v>
      </c>
      <c r="L53" s="219"/>
    </row>
    <row r="54" spans="1:12" s="220" customFormat="1" ht="37.5" customHeight="1">
      <c r="A54" s="54" t="s">
        <v>220</v>
      </c>
      <c r="B54" s="207" t="s">
        <v>233</v>
      </c>
      <c r="C54" s="254" t="s">
        <v>222</v>
      </c>
      <c r="D54" s="255" t="s">
        <v>257</v>
      </c>
      <c r="E54" s="256" t="str">
        <f>'[3]Composições'!$E$57</f>
        <v>H</v>
      </c>
      <c r="F54" s="81">
        <v>326</v>
      </c>
      <c r="G54" s="17"/>
      <c r="H54" s="167">
        <v>24.830000000000002</v>
      </c>
      <c r="I54" s="216">
        <v>0.2564</v>
      </c>
      <c r="J54" s="217">
        <f>H54+H54*I54</f>
        <v>31.196412000000002</v>
      </c>
      <c r="K54" s="218">
        <f>J54*F54</f>
        <v>10170.030312</v>
      </c>
      <c r="L54" s="219"/>
    </row>
    <row r="55" spans="1:13" ht="26.25" customHeight="1">
      <c r="A55" s="56"/>
      <c r="B55" s="209"/>
      <c r="C55" s="38"/>
      <c r="D55" s="131" t="s">
        <v>16</v>
      </c>
      <c r="E55" s="55"/>
      <c r="F55" s="69"/>
      <c r="G55" s="70"/>
      <c r="H55" s="153"/>
      <c r="I55" s="72"/>
      <c r="J55" s="73"/>
      <c r="K55" s="86">
        <f>SUM(K40:K54)</f>
        <v>235418.92809145906</v>
      </c>
      <c r="M55" s="16" t="s">
        <v>285</v>
      </c>
    </row>
    <row r="56" spans="1:11" ht="4.5" customHeight="1">
      <c r="A56" s="56"/>
      <c r="B56" s="209"/>
      <c r="C56" s="38"/>
      <c r="D56" s="131"/>
      <c r="E56" s="55"/>
      <c r="F56" s="69"/>
      <c r="G56" s="70"/>
      <c r="H56" s="153"/>
      <c r="I56" s="72"/>
      <c r="J56" s="73"/>
      <c r="K56" s="86"/>
    </row>
    <row r="57" spans="1:11" ht="20.25" customHeight="1">
      <c r="A57" s="50" t="s">
        <v>78</v>
      </c>
      <c r="B57" s="205"/>
      <c r="C57" s="38"/>
      <c r="D57" s="134" t="s">
        <v>70</v>
      </c>
      <c r="E57" s="38"/>
      <c r="F57" s="85"/>
      <c r="G57" s="17"/>
      <c r="H57" s="156"/>
      <c r="I57" s="63"/>
      <c r="J57" s="64"/>
      <c r="K57" s="68"/>
    </row>
    <row r="58" spans="1:12" ht="45" customHeight="1">
      <c r="A58" s="58" t="s">
        <v>58</v>
      </c>
      <c r="B58" s="213" t="s">
        <v>231</v>
      </c>
      <c r="C58" s="46">
        <v>102509</v>
      </c>
      <c r="D58" s="57" t="s">
        <v>192</v>
      </c>
      <c r="E58" s="47" t="s">
        <v>21</v>
      </c>
      <c r="F58" s="47">
        <v>17.6</v>
      </c>
      <c r="G58" s="43"/>
      <c r="H58" s="44">
        <v>23.6</v>
      </c>
      <c r="I58" s="101">
        <v>0.2564</v>
      </c>
      <c r="J58" s="64">
        <f>H58+H58*I58</f>
        <v>29.651040000000002</v>
      </c>
      <c r="K58" s="68">
        <f>J58*F58</f>
        <v>521.8583040000001</v>
      </c>
      <c r="L58" s="150"/>
    </row>
    <row r="59" spans="1:12" ht="53.25" customHeight="1">
      <c r="A59" s="58" t="s">
        <v>59</v>
      </c>
      <c r="B59" s="213" t="s">
        <v>231</v>
      </c>
      <c r="C59" s="46">
        <v>102512</v>
      </c>
      <c r="D59" s="57" t="s">
        <v>194</v>
      </c>
      <c r="E59" s="47" t="s">
        <v>14</v>
      </c>
      <c r="F59" s="47">
        <v>75.78</v>
      </c>
      <c r="G59" s="43"/>
      <c r="H59" s="44">
        <v>5.4</v>
      </c>
      <c r="I59" s="101">
        <v>0.2564</v>
      </c>
      <c r="J59" s="64">
        <f>H59+H59*I59</f>
        <v>6.784560000000001</v>
      </c>
      <c r="K59" s="68">
        <f>J59*F59</f>
        <v>514.1339568000001</v>
      </c>
      <c r="L59" s="150"/>
    </row>
    <row r="60" spans="1:12" ht="29.25" customHeight="1">
      <c r="A60" s="58" t="s">
        <v>195</v>
      </c>
      <c r="B60" s="213" t="s">
        <v>232</v>
      </c>
      <c r="C60" s="46">
        <v>5213446</v>
      </c>
      <c r="D60" s="57" t="s">
        <v>201</v>
      </c>
      <c r="E60" s="47" t="s">
        <v>77</v>
      </c>
      <c r="F60" s="47">
        <v>1</v>
      </c>
      <c r="G60" s="43"/>
      <c r="H60" s="168">
        <v>592.51</v>
      </c>
      <c r="I60" s="101">
        <v>0.2564</v>
      </c>
      <c r="J60" s="64">
        <f>H60+H60*I60</f>
        <v>744.429564</v>
      </c>
      <c r="K60" s="68">
        <f>J60*F60</f>
        <v>744.429564</v>
      </c>
      <c r="L60" s="150"/>
    </row>
    <row r="61" spans="1:12" ht="39.75" customHeight="1">
      <c r="A61" s="58" t="s">
        <v>202</v>
      </c>
      <c r="B61" s="213" t="s">
        <v>232</v>
      </c>
      <c r="C61" s="46">
        <v>5213863</v>
      </c>
      <c r="D61" s="169" t="s">
        <v>203</v>
      </c>
      <c r="E61" s="47" t="s">
        <v>77</v>
      </c>
      <c r="F61" s="47">
        <v>1</v>
      </c>
      <c r="G61" s="43"/>
      <c r="H61" s="168">
        <v>449.47</v>
      </c>
      <c r="I61" s="101">
        <v>0.2564</v>
      </c>
      <c r="J61" s="64">
        <f>H61+H61*I61</f>
        <v>564.714108</v>
      </c>
      <c r="K61" s="68">
        <f>J61*F61</f>
        <v>564.714108</v>
      </c>
      <c r="L61" s="150"/>
    </row>
    <row r="62" spans="1:11" ht="32.25" customHeight="1">
      <c r="A62" s="59"/>
      <c r="B62" s="214"/>
      <c r="C62" s="39"/>
      <c r="D62" s="131" t="s">
        <v>16</v>
      </c>
      <c r="E62" s="55"/>
      <c r="F62" s="69"/>
      <c r="G62" s="70"/>
      <c r="H62" s="71"/>
      <c r="I62" s="72"/>
      <c r="J62" s="73"/>
      <c r="K62" s="86">
        <f>SUM(K58:K61)</f>
        <v>2345.1359328000003</v>
      </c>
    </row>
    <row r="63" spans="1:13" ht="24.75" customHeight="1" thickBot="1">
      <c r="A63" s="292" t="s">
        <v>11</v>
      </c>
      <c r="B63" s="293"/>
      <c r="C63" s="293"/>
      <c r="D63" s="293"/>
      <c r="E63" s="293"/>
      <c r="F63" s="293"/>
      <c r="G63" s="293"/>
      <c r="H63" s="293"/>
      <c r="I63" s="293"/>
      <c r="J63" s="294"/>
      <c r="K63" s="171">
        <f>K15+K24+K37+K55+K62</f>
        <v>303814.4950788191</v>
      </c>
      <c r="M63" s="16" t="s">
        <v>285</v>
      </c>
    </row>
    <row r="64" spans="1:12" ht="24.75" customHeight="1">
      <c r="A64" s="60"/>
      <c r="B64" s="215"/>
      <c r="C64" s="87"/>
      <c r="D64" s="87"/>
      <c r="E64" s="87"/>
      <c r="F64" s="87"/>
      <c r="G64" s="87"/>
      <c r="H64" s="87"/>
      <c r="I64" s="87"/>
      <c r="J64" s="87"/>
      <c r="K64" s="88"/>
      <c r="L64" s="151"/>
    </row>
    <row r="65" spans="1:12" s="1" customFormat="1" ht="12.75">
      <c r="A65" s="295" t="s">
        <v>205</v>
      </c>
      <c r="B65" s="296"/>
      <c r="C65" s="297"/>
      <c r="D65" s="304" t="s">
        <v>293</v>
      </c>
      <c r="E65" s="297"/>
      <c r="F65" s="306" t="s">
        <v>4</v>
      </c>
      <c r="G65" s="307"/>
      <c r="H65" s="307"/>
      <c r="I65" s="307"/>
      <c r="J65" s="307"/>
      <c r="K65" s="308"/>
      <c r="L65" s="152"/>
    </row>
    <row r="66" spans="1:11" ht="12.75" customHeight="1">
      <c r="A66" s="298"/>
      <c r="B66" s="299"/>
      <c r="C66" s="300"/>
      <c r="D66" s="305"/>
      <c r="E66" s="300"/>
      <c r="F66" s="309"/>
      <c r="G66" s="310"/>
      <c r="H66" s="310"/>
      <c r="I66" s="310"/>
      <c r="J66" s="310"/>
      <c r="K66" s="311"/>
    </row>
    <row r="67" spans="1:11" ht="12.75">
      <c r="A67" s="298"/>
      <c r="B67" s="299"/>
      <c r="C67" s="300"/>
      <c r="D67" s="305" t="s">
        <v>294</v>
      </c>
      <c r="E67" s="300"/>
      <c r="F67" s="309"/>
      <c r="G67" s="310"/>
      <c r="H67" s="310"/>
      <c r="I67" s="310"/>
      <c r="J67" s="310"/>
      <c r="K67" s="311"/>
    </row>
    <row r="68" spans="1:11" ht="13.5" thickBot="1">
      <c r="A68" s="301"/>
      <c r="B68" s="302"/>
      <c r="C68" s="303"/>
      <c r="D68" s="315"/>
      <c r="E68" s="303"/>
      <c r="F68" s="312"/>
      <c r="G68" s="313"/>
      <c r="H68" s="313"/>
      <c r="I68" s="313"/>
      <c r="J68" s="313"/>
      <c r="K68" s="314"/>
    </row>
    <row r="70" spans="1:2" ht="12.75">
      <c r="A70" s="12"/>
      <c r="B70" s="12"/>
    </row>
    <row r="71" spans="1:11" ht="12.75">
      <c r="A71" s="48"/>
      <c r="B71" s="48"/>
      <c r="C71" s="48"/>
      <c r="D71" s="48"/>
      <c r="E71" s="48"/>
      <c r="F71" s="201"/>
      <c r="G71" s="48"/>
      <c r="H71" s="48"/>
      <c r="I71" s="48"/>
      <c r="J71" s="48"/>
      <c r="K71" s="48"/>
    </row>
    <row r="72" spans="1:11" ht="12.75" customHeight="1">
      <c r="A72" s="48"/>
      <c r="B72" s="48"/>
      <c r="C72" s="48"/>
      <c r="D72" s="48"/>
      <c r="E72" s="48"/>
      <c r="F72" s="201"/>
      <c r="G72" s="48"/>
      <c r="H72" s="48"/>
      <c r="I72" s="48"/>
      <c r="J72" s="48"/>
      <c r="K72" s="48"/>
    </row>
    <row r="73" spans="1:11" ht="12.75">
      <c r="A73" s="48"/>
      <c r="B73" s="48"/>
      <c r="C73" s="48"/>
      <c r="D73" s="48"/>
      <c r="E73" s="48"/>
      <c r="F73" s="201"/>
      <c r="G73" s="48"/>
      <c r="H73" s="48"/>
      <c r="I73" s="48"/>
      <c r="J73" s="48"/>
      <c r="K73" s="48"/>
    </row>
    <row r="74" spans="1:11" ht="12.75">
      <c r="A74" s="48"/>
      <c r="B74" s="48"/>
      <c r="C74" s="48"/>
      <c r="D74" s="48"/>
      <c r="E74" s="48"/>
      <c r="F74" s="201"/>
      <c r="G74" s="48"/>
      <c r="H74" s="48"/>
      <c r="I74" s="48"/>
      <c r="J74" s="48"/>
      <c r="K74" s="48"/>
    </row>
    <row r="75" spans="1:11" ht="12.75">
      <c r="A75" s="4"/>
      <c r="B75" s="4"/>
      <c r="C75" s="4"/>
      <c r="D75" s="4"/>
      <c r="E75" s="4"/>
      <c r="F75" s="202"/>
      <c r="G75" s="4"/>
      <c r="H75" s="4"/>
      <c r="I75" s="4"/>
      <c r="J75" s="4"/>
      <c r="K75" s="4"/>
    </row>
    <row r="76" spans="1:11" ht="15" customHeight="1">
      <c r="A76" s="48"/>
      <c r="B76" s="48"/>
      <c r="C76" s="48"/>
      <c r="D76" s="48"/>
      <c r="E76" s="48"/>
      <c r="F76" s="201"/>
      <c r="G76" s="48"/>
      <c r="H76" s="48"/>
      <c r="I76" s="48"/>
      <c r="J76" s="48"/>
      <c r="K76" s="48"/>
    </row>
    <row r="77" spans="1:11" ht="12.75" customHeight="1">
      <c r="A77" s="48"/>
      <c r="B77" s="48"/>
      <c r="C77" s="48"/>
      <c r="D77" s="48"/>
      <c r="E77" s="48"/>
      <c r="F77" s="201"/>
      <c r="G77" s="48"/>
      <c r="H77" s="48"/>
      <c r="I77" s="48"/>
      <c r="J77" s="48"/>
      <c r="K77" s="48"/>
    </row>
    <row r="78" spans="1:11" ht="12.75">
      <c r="A78" s="11"/>
      <c r="B78" s="11"/>
      <c r="C78" s="11"/>
      <c r="D78" s="11"/>
      <c r="E78" s="11"/>
      <c r="F78" s="201"/>
      <c r="G78" s="11"/>
      <c r="H78" s="11"/>
      <c r="I78" s="11"/>
      <c r="J78" s="11"/>
      <c r="K78" s="11"/>
    </row>
    <row r="79" spans="1:11" ht="4.5" customHeight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</row>
  </sheetData>
  <sheetProtection/>
  <mergeCells count="24">
    <mergeCell ref="A2:I3"/>
    <mergeCell ref="A4:C5"/>
    <mergeCell ref="D4:I5"/>
    <mergeCell ref="A1:I1"/>
    <mergeCell ref="A6:C6"/>
    <mergeCell ref="D6:K6"/>
    <mergeCell ref="A7:K7"/>
    <mergeCell ref="A9:A10"/>
    <mergeCell ref="C9:C10"/>
    <mergeCell ref="D9:D10"/>
    <mergeCell ref="E9:E10"/>
    <mergeCell ref="F9:F10"/>
    <mergeCell ref="G9:G10"/>
    <mergeCell ref="H9:H10"/>
    <mergeCell ref="B9:B10"/>
    <mergeCell ref="A79:K79"/>
    <mergeCell ref="I9:I10"/>
    <mergeCell ref="J9:J10"/>
    <mergeCell ref="K9:K10"/>
    <mergeCell ref="A63:J63"/>
    <mergeCell ref="A65:C68"/>
    <mergeCell ref="D65:E66"/>
    <mergeCell ref="F65:K68"/>
    <mergeCell ref="D67:E68"/>
  </mergeCells>
  <printOptions horizontalCentered="1"/>
  <pageMargins left="0.2362204724409449" right="0.2362204724409449" top="0.2362204724409449" bottom="0.2362204724409449" header="0.31496062992125984" footer="0.31496062992125984"/>
  <pageSetup fitToHeight="3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E8" sqref="E8:N8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6.281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445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7" t="s">
        <v>22</v>
      </c>
      <c r="P1" s="448"/>
      <c r="S1" s="451"/>
      <c r="T1" s="451"/>
      <c r="U1" s="451"/>
      <c r="V1" s="451"/>
      <c r="W1" s="451"/>
      <c r="X1" s="451"/>
      <c r="Y1" s="452"/>
      <c r="Z1" s="18"/>
      <c r="AA1" s="18"/>
      <c r="AB1" s="18"/>
    </row>
    <row r="2" spans="1:28" ht="20.25" customHeight="1">
      <c r="A2" s="453" t="s">
        <v>61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49"/>
      <c r="P2" s="450"/>
      <c r="S2" s="451"/>
      <c r="T2" s="451"/>
      <c r="U2" s="451"/>
      <c r="V2" s="451"/>
      <c r="W2" s="451"/>
      <c r="X2" s="451"/>
      <c r="Y2" s="452"/>
      <c r="Z2" s="18"/>
      <c r="AA2" s="18"/>
      <c r="AB2" s="18"/>
    </row>
    <row r="3" spans="1:28" ht="19.5" customHeight="1">
      <c r="A3" s="426" t="s">
        <v>153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8"/>
      <c r="O3" s="429" t="s">
        <v>23</v>
      </c>
      <c r="P3" s="430"/>
      <c r="S3" s="435"/>
      <c r="T3" s="435"/>
      <c r="U3" s="435"/>
      <c r="V3" s="435"/>
      <c r="W3" s="435"/>
      <c r="X3" s="435"/>
      <c r="Y3" s="19"/>
      <c r="Z3" s="18"/>
      <c r="AA3" s="18"/>
      <c r="AB3" s="18"/>
    </row>
    <row r="4" spans="1:28" ht="19.5" customHeight="1">
      <c r="A4" s="264" t="s">
        <v>24</v>
      </c>
      <c r="B4" s="265"/>
      <c r="C4" s="265"/>
      <c r="D4" s="476" t="str">
        <f>'Selvino Bellini'!D6:K6</f>
        <v>Rua Selvino Bellini (ATUALIZADA 24/11/2023)</v>
      </c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31"/>
      <c r="P4" s="432"/>
      <c r="S4" s="10"/>
      <c r="T4" s="10"/>
      <c r="U4" s="10"/>
      <c r="V4" s="10"/>
      <c r="W4" s="10"/>
      <c r="X4" s="10"/>
      <c r="Y4" s="19"/>
      <c r="Z4" s="18"/>
      <c r="AA4" s="18"/>
      <c r="AB4" s="18"/>
    </row>
    <row r="5" spans="1:28" ht="9.75" customHeight="1">
      <c r="A5" s="266"/>
      <c r="B5" s="267"/>
      <c r="C5" s="267"/>
      <c r="D5" s="479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33"/>
      <c r="P5" s="434"/>
      <c r="S5" s="10"/>
      <c r="T5" s="10"/>
      <c r="U5" s="10"/>
      <c r="V5" s="10"/>
      <c r="W5" s="10"/>
      <c r="X5" s="10"/>
      <c r="Y5" s="19"/>
      <c r="Z5" s="18"/>
      <c r="AA5" s="18"/>
      <c r="AB5" s="18"/>
    </row>
    <row r="6" spans="1:28" ht="19.5" customHeight="1">
      <c r="A6" s="272" t="s">
        <v>8</v>
      </c>
      <c r="B6" s="273"/>
      <c r="C6" s="273"/>
      <c r="D6" s="436" t="s">
        <v>152</v>
      </c>
      <c r="E6" s="437"/>
      <c r="F6" s="437"/>
      <c r="G6" s="437"/>
      <c r="H6" s="437"/>
      <c r="I6" s="437"/>
      <c r="J6" s="437"/>
      <c r="K6" s="437"/>
      <c r="L6" s="437"/>
      <c r="M6" s="437"/>
      <c r="N6" s="438"/>
      <c r="O6" s="439">
        <v>45174</v>
      </c>
      <c r="P6" s="440"/>
      <c r="S6" s="10"/>
      <c r="T6" s="10"/>
      <c r="U6" s="10"/>
      <c r="V6" s="10"/>
      <c r="W6" s="10"/>
      <c r="X6" s="10"/>
      <c r="Y6" s="19"/>
      <c r="Z6" s="18"/>
      <c r="AA6" s="18"/>
      <c r="AB6" s="18"/>
    </row>
    <row r="7" spans="1:28" ht="30" customHeight="1">
      <c r="A7" s="272" t="str">
        <f>'Selvino Bellini'!A7:K7</f>
        <v>Data de referência dos custos: SINAPI 10/2023    - SICRO 07/2023  BDI = 25,64%  -  Desonerado</v>
      </c>
      <c r="B7" s="273"/>
      <c r="C7" s="273"/>
      <c r="D7" s="273"/>
      <c r="E7" s="273"/>
      <c r="F7" s="273"/>
      <c r="G7" s="273"/>
      <c r="H7" s="443" t="s">
        <v>25</v>
      </c>
      <c r="I7" s="444"/>
      <c r="J7" s="444"/>
      <c r="K7" s="444"/>
      <c r="L7" s="444"/>
      <c r="M7" s="444"/>
      <c r="N7" s="444"/>
      <c r="O7" s="441"/>
      <c r="P7" s="442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4.25" customHeight="1">
      <c r="A8" s="420" t="s">
        <v>0</v>
      </c>
      <c r="B8" s="421" t="s">
        <v>1</v>
      </c>
      <c r="C8" s="421"/>
      <c r="D8" s="421"/>
      <c r="E8" s="409" t="s">
        <v>26</v>
      </c>
      <c r="F8" s="409"/>
      <c r="G8" s="409"/>
      <c r="H8" s="409"/>
      <c r="I8" s="409"/>
      <c r="J8" s="409"/>
      <c r="K8" s="409"/>
      <c r="L8" s="409"/>
      <c r="M8" s="409"/>
      <c r="N8" s="409"/>
      <c r="O8" s="422" t="s">
        <v>27</v>
      </c>
      <c r="P8" s="423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4.25" customHeight="1">
      <c r="A9" s="420"/>
      <c r="B9" s="421"/>
      <c r="C9" s="421"/>
      <c r="D9" s="421"/>
      <c r="E9" s="424" t="s">
        <v>28</v>
      </c>
      <c r="F9" s="425"/>
      <c r="G9" s="424" t="s">
        <v>29</v>
      </c>
      <c r="H9" s="425"/>
      <c r="I9" s="424" t="s">
        <v>30</v>
      </c>
      <c r="J9" s="425"/>
      <c r="K9" s="424" t="s">
        <v>31</v>
      </c>
      <c r="L9" s="425"/>
      <c r="M9" s="424" t="s">
        <v>32</v>
      </c>
      <c r="N9" s="425"/>
      <c r="O9" s="422"/>
      <c r="P9" s="423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2.75">
      <c r="A10" s="420"/>
      <c r="B10" s="421"/>
      <c r="C10" s="421"/>
      <c r="D10" s="421"/>
      <c r="E10" s="20" t="s">
        <v>33</v>
      </c>
      <c r="F10" s="20" t="s">
        <v>34</v>
      </c>
      <c r="G10" s="20" t="s">
        <v>33</v>
      </c>
      <c r="H10" s="20" t="s">
        <v>34</v>
      </c>
      <c r="I10" s="20" t="s">
        <v>33</v>
      </c>
      <c r="J10" s="20" t="s">
        <v>34</v>
      </c>
      <c r="K10" s="20" t="s">
        <v>33</v>
      </c>
      <c r="L10" s="20" t="s">
        <v>34</v>
      </c>
      <c r="M10" s="20" t="s">
        <v>33</v>
      </c>
      <c r="N10" s="20" t="s">
        <v>34</v>
      </c>
      <c r="O10" s="20" t="s">
        <v>33</v>
      </c>
      <c r="P10" s="21" t="s">
        <v>34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6.5" customHeight="1">
      <c r="A11" s="40" t="str">
        <f>'[1]A1'!$A$12</f>
        <v>1.0</v>
      </c>
      <c r="B11" s="406" t="str">
        <f>'Selvino Bellini'!D11</f>
        <v>SERVIÇOS INICIAIS  </v>
      </c>
      <c r="C11" s="407"/>
      <c r="D11" s="407"/>
      <c r="E11" s="23">
        <f>F11*O11</f>
        <v>4844.276352000001</v>
      </c>
      <c r="F11" s="24">
        <v>1</v>
      </c>
      <c r="G11" s="23"/>
      <c r="H11" s="24"/>
      <c r="I11" s="23"/>
      <c r="J11" s="24"/>
      <c r="K11" s="23"/>
      <c r="L11" s="24"/>
      <c r="M11" s="23"/>
      <c r="N11" s="24"/>
      <c r="O11" s="25">
        <f>'Selvino Bellini'!K15</f>
        <v>4844.276352000001</v>
      </c>
      <c r="P11" s="26">
        <f aca="true" t="shared" si="0" ref="P11:P17">F11+H11+J11+L11+N11</f>
        <v>1</v>
      </c>
      <c r="Q11" s="37"/>
      <c r="R11" s="37"/>
      <c r="S11" s="37"/>
      <c r="T11" s="37"/>
      <c r="U11" s="37"/>
      <c r="V11" s="18"/>
      <c r="W11" s="18"/>
      <c r="X11" s="18"/>
      <c r="Y11" s="18"/>
      <c r="Z11" s="18"/>
      <c r="AA11" s="18"/>
      <c r="AB11" s="18"/>
    </row>
    <row r="12" spans="1:28" ht="13.5" customHeight="1">
      <c r="A12" s="40" t="s">
        <v>17</v>
      </c>
      <c r="B12" s="406" t="str">
        <f>'Selvino Bellini'!D17</f>
        <v>ESCAVAÇÕES E TERRAPLENAGEM</v>
      </c>
      <c r="C12" s="407"/>
      <c r="D12" s="407"/>
      <c r="E12" s="23">
        <f>F12*O12</f>
        <v>5426.8338528</v>
      </c>
      <c r="F12" s="24">
        <v>0.8</v>
      </c>
      <c r="G12" s="23">
        <f>H12*O12</f>
        <v>1356.7084632</v>
      </c>
      <c r="H12" s="24">
        <v>0.2</v>
      </c>
      <c r="I12" s="23"/>
      <c r="J12" s="24"/>
      <c r="K12" s="23"/>
      <c r="L12" s="24"/>
      <c r="M12" s="23"/>
      <c r="N12" s="24"/>
      <c r="O12" s="25">
        <f>'Selvino Bellini'!K24</f>
        <v>6783.542316</v>
      </c>
      <c r="P12" s="26">
        <f t="shared" si="0"/>
        <v>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3.5" customHeight="1">
      <c r="A13" s="40" t="s">
        <v>42</v>
      </c>
      <c r="B13" s="406" t="str">
        <f>'Selvino Bellini'!D26</f>
        <v>DRENAGEM PLUVIAL</v>
      </c>
      <c r="C13" s="407"/>
      <c r="D13" s="407"/>
      <c r="E13" s="23">
        <f>F13*O13</f>
        <v>43538.08990924801</v>
      </c>
      <c r="F13" s="24">
        <v>0.8</v>
      </c>
      <c r="G13" s="23">
        <f>H13*O13</f>
        <v>10884.522477312003</v>
      </c>
      <c r="H13" s="24">
        <v>0.2</v>
      </c>
      <c r="I13" s="23"/>
      <c r="J13" s="24"/>
      <c r="K13" s="23"/>
      <c r="L13" s="24"/>
      <c r="M13" s="23"/>
      <c r="N13" s="24"/>
      <c r="O13" s="25">
        <f>'Selvino Bellini'!K37</f>
        <v>54422.61238656001</v>
      </c>
      <c r="P13" s="26">
        <f t="shared" si="0"/>
        <v>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.5" customHeight="1">
      <c r="A14" s="40" t="s">
        <v>19</v>
      </c>
      <c r="B14" s="406" t="str">
        <f>'Selvino Bellini'!D39</f>
        <v>PAVIMENTAÇÃO SOBRE LEITO NATURAL</v>
      </c>
      <c r="C14" s="407"/>
      <c r="D14" s="407"/>
      <c r="E14" s="23"/>
      <c r="F14" s="24"/>
      <c r="G14" s="23">
        <f>H14*O14</f>
        <v>47083.78561829182</v>
      </c>
      <c r="H14" s="24">
        <v>0.2</v>
      </c>
      <c r="I14" s="23">
        <f>J14*O14</f>
        <v>141251.35685487543</v>
      </c>
      <c r="J14" s="24">
        <v>0.6</v>
      </c>
      <c r="K14" s="23">
        <f>L14*O14</f>
        <v>47083.78561829182</v>
      </c>
      <c r="L14" s="24">
        <v>0.2</v>
      </c>
      <c r="M14" s="23"/>
      <c r="N14" s="24"/>
      <c r="O14" s="25">
        <f>'Selvino Bellini'!K55</f>
        <v>235418.92809145906</v>
      </c>
      <c r="P14" s="26">
        <f t="shared" si="0"/>
        <v>1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16" ht="13.5" customHeight="1">
      <c r="A15" s="40" t="s">
        <v>78</v>
      </c>
      <c r="B15" s="406" t="str">
        <f>'Selvino Bellini'!D57</f>
        <v>SINALIZAÇÃO</v>
      </c>
      <c r="C15" s="407"/>
      <c r="D15" s="407"/>
      <c r="E15" s="23"/>
      <c r="F15" s="24"/>
      <c r="G15" s="23"/>
      <c r="H15" s="24"/>
      <c r="I15" s="23"/>
      <c r="J15" s="24"/>
      <c r="K15" s="23">
        <f>L15*O15</f>
        <v>2345.1359328000003</v>
      </c>
      <c r="L15" s="24">
        <v>1</v>
      </c>
      <c r="M15" s="23"/>
      <c r="N15" s="24"/>
      <c r="O15" s="25">
        <f>'Selvino Bellini'!K62</f>
        <v>2345.1359328000003</v>
      </c>
      <c r="P15" s="26">
        <f t="shared" si="0"/>
        <v>1</v>
      </c>
    </row>
    <row r="16" spans="1:16" ht="17.25" customHeight="1">
      <c r="A16" s="40"/>
      <c r="B16" s="406"/>
      <c r="C16" s="407"/>
      <c r="D16" s="407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5"/>
      <c r="P16" s="26"/>
    </row>
    <row r="17" spans="1:16" ht="13.5" customHeight="1">
      <c r="A17" s="40"/>
      <c r="B17" s="406"/>
      <c r="C17" s="407"/>
      <c r="D17" s="407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5"/>
      <c r="P17" s="26">
        <f t="shared" si="0"/>
        <v>0</v>
      </c>
    </row>
    <row r="18" spans="1:16" ht="13.5" customHeight="1">
      <c r="A18" s="40"/>
      <c r="B18" s="406"/>
      <c r="C18" s="407"/>
      <c r="D18" s="407"/>
      <c r="E18" s="23"/>
      <c r="F18" s="24"/>
      <c r="G18" s="23"/>
      <c r="H18" s="41"/>
      <c r="I18" s="23"/>
      <c r="J18" s="28"/>
      <c r="K18" s="23"/>
      <c r="L18" s="28"/>
      <c r="M18" s="23"/>
      <c r="N18" s="28"/>
      <c r="O18" s="25"/>
      <c r="P18" s="26"/>
    </row>
    <row r="19" spans="1:16" ht="13.5" customHeight="1">
      <c r="A19" s="40"/>
      <c r="B19" s="406"/>
      <c r="C19" s="407"/>
      <c r="D19" s="407"/>
      <c r="E19" s="23"/>
      <c r="F19" s="24"/>
      <c r="G19" s="23"/>
      <c r="H19" s="41"/>
      <c r="I19" s="23"/>
      <c r="J19" s="41"/>
      <c r="K19" s="23"/>
      <c r="L19" s="28"/>
      <c r="M19" s="23"/>
      <c r="N19" s="28"/>
      <c r="O19" s="25"/>
      <c r="P19" s="26"/>
    </row>
    <row r="20" spans="1:16" ht="13.5" customHeight="1">
      <c r="A20" s="22"/>
      <c r="B20" s="406"/>
      <c r="C20" s="407"/>
      <c r="D20" s="407"/>
      <c r="E20" s="23"/>
      <c r="F20" s="27"/>
      <c r="G20" s="23"/>
      <c r="H20" s="27"/>
      <c r="I20" s="23"/>
      <c r="J20" s="28"/>
      <c r="K20" s="23"/>
      <c r="L20" s="28"/>
      <c r="M20" s="23"/>
      <c r="N20" s="28"/>
      <c r="O20" s="25">
        <f>SUM(O11:O19)</f>
        <v>303814.4950788191</v>
      </c>
      <c r="P20" s="26"/>
    </row>
    <row r="21" spans="1:16" s="32" customFormat="1" ht="13.5" customHeight="1">
      <c r="A21" s="408" t="s">
        <v>35</v>
      </c>
      <c r="B21" s="409"/>
      <c r="C21" s="409"/>
      <c r="D21" s="409"/>
      <c r="E21" s="29">
        <f>ROUND(SUM(E11:E20),2)</f>
        <v>53809.2</v>
      </c>
      <c r="F21" s="30">
        <f>IF($O$21&lt;&gt;0,E21*100/$O$21,0)</f>
        <v>17.71120206573419</v>
      </c>
      <c r="G21" s="29">
        <f>ROUND(SUM(G11:G20),2)</f>
        <v>59325.02</v>
      </c>
      <c r="H21" s="30">
        <f>IF($O$21&lt;&gt;0,G21*100/$O$21,0)</f>
        <v>19.526724366348546</v>
      </c>
      <c r="I21" s="29">
        <f>ROUND(SUM(I11:I20),2)</f>
        <v>141251.36</v>
      </c>
      <c r="J21" s="30">
        <f>IF($O$21&lt;&gt;0,I21*100/$O$21,0)</f>
        <v>46.492632840104726</v>
      </c>
      <c r="K21" s="29">
        <f>ROUND(SUM(K11:K20),2)</f>
        <v>49428.92</v>
      </c>
      <c r="L21" s="30">
        <f>IF($O$21&lt;&gt;0,K21*100/$O$21,0)</f>
        <v>16.26944072781253</v>
      </c>
      <c r="M21" s="29"/>
      <c r="N21" s="30"/>
      <c r="O21" s="25">
        <f>E21+G21+I21+K21+M21</f>
        <v>303814.5</v>
      </c>
      <c r="P21" s="31">
        <f>F21+H21+J21+L21+N21</f>
        <v>100</v>
      </c>
    </row>
    <row r="22" spans="1:16" s="32" customFormat="1" ht="13.5" customHeight="1" thickBot="1">
      <c r="A22" s="410" t="s">
        <v>36</v>
      </c>
      <c r="B22" s="411"/>
      <c r="C22" s="411"/>
      <c r="D22" s="411"/>
      <c r="E22" s="33">
        <f>E21</f>
        <v>53809.2</v>
      </c>
      <c r="F22" s="34">
        <f>F21</f>
        <v>17.71120206573419</v>
      </c>
      <c r="G22" s="33">
        <f>E22+G21</f>
        <v>113134.22</v>
      </c>
      <c r="H22" s="34">
        <f>F22+H21</f>
        <v>37.23792643208274</v>
      </c>
      <c r="I22" s="33">
        <f>I21+G22</f>
        <v>254385.58</v>
      </c>
      <c r="J22" s="34">
        <f>H22+J21</f>
        <v>83.73055927218746</v>
      </c>
      <c r="K22" s="33">
        <f>K21+I22</f>
        <v>303814.5</v>
      </c>
      <c r="L22" s="34">
        <f>J22+L21</f>
        <v>100</v>
      </c>
      <c r="M22" s="33"/>
      <c r="N22" s="34"/>
      <c r="O22" s="35"/>
      <c r="P22" s="36"/>
    </row>
    <row r="23" spans="1:16" ht="57" customHeight="1" thickBot="1">
      <c r="A23" s="412" t="s">
        <v>259</v>
      </c>
      <c r="B23" s="413"/>
      <c r="C23" s="413"/>
      <c r="D23" s="414"/>
      <c r="E23" s="415" t="s">
        <v>65</v>
      </c>
      <c r="F23" s="416"/>
      <c r="G23" s="416"/>
      <c r="H23" s="416"/>
      <c r="I23" s="416"/>
      <c r="J23" s="416"/>
      <c r="K23" s="416"/>
      <c r="L23" s="416"/>
      <c r="M23" s="417"/>
      <c r="N23" s="415" t="s">
        <v>37</v>
      </c>
      <c r="O23" s="416"/>
      <c r="P23" s="418"/>
    </row>
    <row r="24" spans="1:16" ht="16.5" customHeight="1">
      <c r="A24" s="419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</row>
    <row r="25" spans="1:16" ht="16.5" customHeight="1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</row>
    <row r="26" spans="1:16" ht="6.75" customHeight="1">
      <c r="A26" s="405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</row>
    <row r="27" spans="1:16" ht="12.75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</row>
  </sheetData>
  <sheetProtection/>
  <mergeCells count="44">
    <mergeCell ref="A1:N1"/>
    <mergeCell ref="O1:P2"/>
    <mergeCell ref="S1:X1"/>
    <mergeCell ref="Y1:Y2"/>
    <mergeCell ref="A2:N2"/>
    <mergeCell ref="S2:X2"/>
    <mergeCell ref="A3:N3"/>
    <mergeCell ref="O3:P5"/>
    <mergeCell ref="S3:X3"/>
    <mergeCell ref="A4:C5"/>
    <mergeCell ref="D4:N5"/>
    <mergeCell ref="A6:C6"/>
    <mergeCell ref="D6:N6"/>
    <mergeCell ref="O6:P7"/>
    <mergeCell ref="A7:G7"/>
    <mergeCell ref="H7:N7"/>
    <mergeCell ref="A8:A10"/>
    <mergeCell ref="B8:D10"/>
    <mergeCell ref="E8:N8"/>
    <mergeCell ref="O8:P9"/>
    <mergeCell ref="E9:F9"/>
    <mergeCell ref="G9:H9"/>
    <mergeCell ref="I9:J9"/>
    <mergeCell ref="K9:L9"/>
    <mergeCell ref="M9:N9"/>
    <mergeCell ref="B17:D17"/>
    <mergeCell ref="B18:D18"/>
    <mergeCell ref="B19:D19"/>
    <mergeCell ref="B20:D20"/>
    <mergeCell ref="B11:D11"/>
    <mergeCell ref="B12:D12"/>
    <mergeCell ref="B14:D14"/>
    <mergeCell ref="B15:D15"/>
    <mergeCell ref="B16:D16"/>
    <mergeCell ref="A25:P25"/>
    <mergeCell ref="A26:P26"/>
    <mergeCell ref="A27:P27"/>
    <mergeCell ref="B13:D13"/>
    <mergeCell ref="A21:D21"/>
    <mergeCell ref="A22:D22"/>
    <mergeCell ref="A23:D23"/>
    <mergeCell ref="E23:M23"/>
    <mergeCell ref="N23:P23"/>
    <mergeCell ref="A24:P2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4" sqref="B4:D12"/>
    </sheetView>
  </sheetViews>
  <sheetFormatPr defaultColWidth="9.140625" defaultRowHeight="12.75"/>
  <cols>
    <col min="2" max="2" width="13.421875" style="96" customWidth="1"/>
    <col min="3" max="3" width="62.8515625" style="0" customWidth="1"/>
    <col min="4" max="4" width="12.7109375" style="0" customWidth="1"/>
  </cols>
  <sheetData>
    <row r="1" spans="2:4" ht="13.5" thickBot="1">
      <c r="B1" s="454" t="s">
        <v>94</v>
      </c>
      <c r="C1" s="455"/>
      <c r="D1" s="456"/>
    </row>
    <row r="2" spans="2:4" ht="12.75">
      <c r="B2" s="97"/>
      <c r="C2" s="97"/>
      <c r="D2" s="98"/>
    </row>
    <row r="3" spans="2:7" ht="13.5">
      <c r="B3"/>
      <c r="E3" s="92"/>
      <c r="F3" s="93"/>
      <c r="G3" s="93"/>
    </row>
    <row r="4" spans="2:4" ht="13.5">
      <c r="B4" s="92"/>
      <c r="C4" s="93"/>
      <c r="D4" s="93"/>
    </row>
    <row r="5" spans="2:4" ht="13.5">
      <c r="B5" s="92"/>
      <c r="C5" s="93"/>
      <c r="D5" s="93"/>
    </row>
    <row r="6" spans="2:4" ht="32.25" customHeight="1">
      <c r="B6" s="92"/>
      <c r="C6" s="93"/>
      <c r="D6" s="93"/>
    </row>
    <row r="7" spans="2:4" ht="25.5" customHeight="1">
      <c r="B7" s="92"/>
      <c r="C7" s="93"/>
      <c r="D7" s="93"/>
    </row>
    <row r="8" spans="2:4" ht="13.5">
      <c r="B8" s="92"/>
      <c r="C8" s="93"/>
      <c r="D8" s="93"/>
    </row>
    <row r="9" spans="2:4" ht="13.5">
      <c r="B9" s="92"/>
      <c r="C9" s="93"/>
      <c r="D9" s="93"/>
    </row>
    <row r="10" spans="2:4" ht="13.5">
      <c r="B10" s="92"/>
      <c r="C10" s="93"/>
      <c r="D10" s="93"/>
    </row>
    <row r="11" spans="2:4" ht="13.5">
      <c r="B11" s="92"/>
      <c r="C11" s="93"/>
      <c r="D11" s="93"/>
    </row>
    <row r="12" spans="2:4" ht="21.75" customHeight="1">
      <c r="B12" s="92"/>
      <c r="C12" s="93"/>
      <c r="D12" s="93"/>
    </row>
    <row r="13" spans="2:7" ht="13.5">
      <c r="B13" s="95"/>
      <c r="C13" s="94"/>
      <c r="D13" s="92"/>
      <c r="E13" s="92"/>
      <c r="F13" s="93"/>
      <c r="G13" s="93"/>
    </row>
    <row r="14" spans="2:7" ht="13.5">
      <c r="B14" s="95"/>
      <c r="C14" s="94"/>
      <c r="D14" s="92"/>
      <c r="E14" s="92"/>
      <c r="F14" s="93"/>
      <c r="G14" s="93"/>
    </row>
    <row r="15" spans="2:7" ht="13.5">
      <c r="B15" s="95"/>
      <c r="C15" s="94"/>
      <c r="D15" s="92"/>
      <c r="E15" s="92"/>
      <c r="F15" s="93"/>
      <c r="G15" s="93"/>
    </row>
    <row r="16" spans="2:7" ht="13.5">
      <c r="B16" s="95"/>
      <c r="C16" s="94"/>
      <c r="D16" s="92"/>
      <c r="E16" s="92"/>
      <c r="F16" s="93"/>
      <c r="G16" s="93"/>
    </row>
    <row r="17" spans="2:7" ht="13.5">
      <c r="B17" s="95"/>
      <c r="C17" s="94"/>
      <c r="D17" s="92"/>
      <c r="E17" s="92"/>
      <c r="F17" s="93"/>
      <c r="G17" s="93"/>
    </row>
    <row r="18" spans="2:7" ht="13.5">
      <c r="B18" s="95"/>
      <c r="C18" s="94"/>
      <c r="D18" s="92"/>
      <c r="E18" s="92"/>
      <c r="F18" s="93"/>
      <c r="G18" s="93"/>
    </row>
    <row r="19" spans="2:7" ht="13.5">
      <c r="B19" s="95"/>
      <c r="C19" s="94"/>
      <c r="D19" s="92"/>
      <c r="E19" s="92"/>
      <c r="F19" s="93"/>
      <c r="G19" s="93"/>
    </row>
    <row r="20" spans="2:7" ht="13.5">
      <c r="B20" s="95"/>
      <c r="C20" s="94"/>
      <c r="D20" s="92"/>
      <c r="E20" s="92"/>
      <c r="F20" s="93"/>
      <c r="G20" s="93"/>
    </row>
    <row r="21" spans="2:7" ht="13.5">
      <c r="B21" s="95"/>
      <c r="C21" s="94"/>
      <c r="D21" s="92"/>
      <c r="E21" s="92"/>
      <c r="F21" s="93"/>
      <c r="G21" s="93"/>
    </row>
    <row r="22" spans="2:7" ht="13.5">
      <c r="B22" s="92"/>
      <c r="C22" s="92"/>
      <c r="D22" s="92"/>
      <c r="E22" s="92"/>
      <c r="F22" s="93"/>
      <c r="G22" s="93"/>
    </row>
  </sheetData>
  <sheetProtection/>
  <mergeCells count="1">
    <mergeCell ref="B1:D1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27" sqref="F27:F31"/>
    </sheetView>
  </sheetViews>
  <sheetFormatPr defaultColWidth="8.8515625" defaultRowHeight="12.75"/>
  <cols>
    <col min="1" max="1" width="8.8515625" style="140" customWidth="1"/>
    <col min="2" max="2" width="42.8515625" style="147" customWidth="1"/>
    <col min="3" max="3" width="8.421875" style="240" bestFit="1" customWidth="1"/>
    <col min="4" max="4" width="9.57421875" style="96" bestFit="1" customWidth="1"/>
    <col min="5" max="5" width="13.28125" style="96" customWidth="1"/>
    <col min="6" max="6" width="15.28125" style="96" customWidth="1"/>
    <col min="7" max="7" width="8.8515625" style="164" customWidth="1"/>
    <col min="8" max="8" width="13.00390625" style="164" bestFit="1" customWidth="1"/>
    <col min="9" max="9" width="5.28125" style="140" customWidth="1"/>
    <col min="10" max="12" width="8.8515625" style="140" customWidth="1"/>
    <col min="13" max="13" width="39.7109375" style="140" customWidth="1"/>
    <col min="14" max="16384" width="8.8515625" style="140" customWidth="1"/>
  </cols>
  <sheetData>
    <row r="1" spans="1:8" ht="13.5" thickBot="1">
      <c r="A1" s="462" t="s">
        <v>87</v>
      </c>
      <c r="B1" s="463"/>
      <c r="C1" s="463"/>
      <c r="D1" s="463"/>
      <c r="E1" s="463"/>
      <c r="F1" s="463"/>
      <c r="G1" s="463"/>
      <c r="H1" s="464"/>
    </row>
    <row r="2" spans="1:8" ht="16.5" thickBot="1">
      <c r="A2" s="141"/>
      <c r="B2" s="142"/>
      <c r="C2" s="238"/>
      <c r="D2" s="143"/>
      <c r="E2" s="143"/>
      <c r="F2" s="143"/>
      <c r="G2" s="158"/>
      <c r="H2" s="144"/>
    </row>
    <row r="3" spans="1:8" ht="12.75">
      <c r="A3" s="470" t="s">
        <v>0</v>
      </c>
      <c r="B3" s="472" t="s">
        <v>1</v>
      </c>
      <c r="C3" s="472" t="s">
        <v>235</v>
      </c>
      <c r="D3" s="465" t="s">
        <v>88</v>
      </c>
      <c r="E3" s="465" t="s">
        <v>2</v>
      </c>
      <c r="F3" s="474" t="s">
        <v>89</v>
      </c>
      <c r="G3" s="159" t="s">
        <v>90</v>
      </c>
      <c r="H3" s="145" t="s">
        <v>91</v>
      </c>
    </row>
    <row r="4" spans="1:8" ht="23.25" customHeight="1" thickBot="1">
      <c r="A4" s="471"/>
      <c r="B4" s="473"/>
      <c r="C4" s="473"/>
      <c r="D4" s="466"/>
      <c r="E4" s="466"/>
      <c r="F4" s="475"/>
      <c r="G4" s="160" t="s">
        <v>92</v>
      </c>
      <c r="H4" s="146" t="s">
        <v>93</v>
      </c>
    </row>
    <row r="5" spans="1:8" ht="12.75">
      <c r="A5" s="467"/>
      <c r="B5" s="468"/>
      <c r="C5" s="468"/>
      <c r="D5" s="468"/>
      <c r="E5" s="468"/>
      <c r="F5" s="468"/>
      <c r="G5" s="468"/>
      <c r="H5" s="469"/>
    </row>
    <row r="6" spans="1:8" ht="36.75" customHeight="1">
      <c r="A6" s="102">
        <v>1</v>
      </c>
      <c r="B6" s="148" t="s">
        <v>171</v>
      </c>
      <c r="C6" s="457" t="s">
        <v>84</v>
      </c>
      <c r="D6" s="458"/>
      <c r="E6" s="102" t="s">
        <v>77</v>
      </c>
      <c r="F6" s="103"/>
      <c r="G6" s="161"/>
      <c r="H6" s="104">
        <f>SUM(H7:H13)</f>
        <v>1206.4608</v>
      </c>
    </row>
    <row r="7" spans="1:9" ht="28.5" customHeight="1">
      <c r="A7" s="247" t="s">
        <v>43</v>
      </c>
      <c r="B7" s="99" t="s">
        <v>172</v>
      </c>
      <c r="C7" s="106" t="s">
        <v>92</v>
      </c>
      <c r="D7" s="106">
        <v>90082</v>
      </c>
      <c r="E7" s="105" t="s">
        <v>41</v>
      </c>
      <c r="F7" s="107">
        <v>4.2</v>
      </c>
      <c r="G7" s="108">
        <v>10.51</v>
      </c>
      <c r="H7" s="108">
        <f>G7*F7</f>
        <v>44.142</v>
      </c>
      <c r="I7" s="150"/>
    </row>
    <row r="8" spans="1:9" ht="38.25">
      <c r="A8" s="247" t="s">
        <v>81</v>
      </c>
      <c r="B8" s="99" t="s">
        <v>182</v>
      </c>
      <c r="C8" s="106" t="s">
        <v>240</v>
      </c>
      <c r="D8" s="106">
        <v>2009618</v>
      </c>
      <c r="E8" s="105" t="s">
        <v>21</v>
      </c>
      <c r="F8" s="107">
        <v>3.78</v>
      </c>
      <c r="G8" s="162">
        <v>106.21</v>
      </c>
      <c r="H8" s="108">
        <f aca="true" t="shared" si="0" ref="H8:H13">G8*F8</f>
        <v>401.4738</v>
      </c>
      <c r="I8" s="150"/>
    </row>
    <row r="9" spans="1:9" ht="33" customHeight="1">
      <c r="A9" s="247" t="s">
        <v>85</v>
      </c>
      <c r="B9" s="99" t="s">
        <v>173</v>
      </c>
      <c r="C9" s="106" t="s">
        <v>92</v>
      </c>
      <c r="D9" s="106">
        <v>94966</v>
      </c>
      <c r="E9" s="105" t="s">
        <v>41</v>
      </c>
      <c r="F9" s="107">
        <v>0.17</v>
      </c>
      <c r="G9" s="162">
        <v>534.28</v>
      </c>
      <c r="H9" s="108">
        <f t="shared" si="0"/>
        <v>90.8276</v>
      </c>
      <c r="I9" s="150"/>
    </row>
    <row r="10" spans="1:9" ht="25.5">
      <c r="A10" s="247" t="s">
        <v>86</v>
      </c>
      <c r="B10" s="106" t="s">
        <v>174</v>
      </c>
      <c r="C10" s="106" t="s">
        <v>240</v>
      </c>
      <c r="D10" s="78">
        <v>3103302</v>
      </c>
      <c r="E10" s="78" t="s">
        <v>21</v>
      </c>
      <c r="F10" s="107">
        <v>1.26</v>
      </c>
      <c r="G10" s="162">
        <v>70.51</v>
      </c>
      <c r="H10" s="108">
        <f t="shared" si="0"/>
        <v>88.8426</v>
      </c>
      <c r="I10" s="150"/>
    </row>
    <row r="11" spans="1:9" ht="24" customHeight="1">
      <c r="A11" s="247" t="s">
        <v>175</v>
      </c>
      <c r="B11" s="149" t="s">
        <v>176</v>
      </c>
      <c r="C11" s="239" t="s">
        <v>240</v>
      </c>
      <c r="D11" s="106" t="s">
        <v>248</v>
      </c>
      <c r="E11" s="105" t="s">
        <v>77</v>
      </c>
      <c r="F11" s="107">
        <v>1</v>
      </c>
      <c r="G11" s="162">
        <v>509.2883</v>
      </c>
      <c r="H11" s="108">
        <f t="shared" si="0"/>
        <v>509.2883</v>
      </c>
      <c r="I11" s="150"/>
    </row>
    <row r="12" spans="1:9" ht="25.5">
      <c r="A12" s="247" t="s">
        <v>177</v>
      </c>
      <c r="B12" s="149" t="s">
        <v>178</v>
      </c>
      <c r="C12" s="239" t="s">
        <v>240</v>
      </c>
      <c r="D12" s="106">
        <v>407819</v>
      </c>
      <c r="E12" s="105" t="s">
        <v>179</v>
      </c>
      <c r="F12" s="107">
        <v>3.43</v>
      </c>
      <c r="G12" s="162">
        <v>14.15</v>
      </c>
      <c r="H12" s="108">
        <f t="shared" si="0"/>
        <v>48.5345</v>
      </c>
      <c r="I12" s="150"/>
    </row>
    <row r="13" spans="1:9" ht="12.75">
      <c r="A13" s="247" t="s">
        <v>180</v>
      </c>
      <c r="B13" s="149" t="s">
        <v>181</v>
      </c>
      <c r="C13" s="239" t="s">
        <v>92</v>
      </c>
      <c r="D13" s="106">
        <v>93364</v>
      </c>
      <c r="E13" s="105" t="s">
        <v>41</v>
      </c>
      <c r="F13" s="107">
        <v>2.1</v>
      </c>
      <c r="G13" s="162">
        <v>11.12</v>
      </c>
      <c r="H13" s="108">
        <f t="shared" si="0"/>
        <v>23.352</v>
      </c>
      <c r="I13" s="150"/>
    </row>
    <row r="14" spans="1:8" ht="12.75">
      <c r="A14" s="96"/>
      <c r="B14" s="140"/>
      <c r="C14" s="96"/>
      <c r="E14" s="140"/>
      <c r="F14" s="140"/>
      <c r="G14" s="163"/>
      <c r="H14" s="163"/>
    </row>
    <row r="16" spans="1:8" ht="25.5">
      <c r="A16" s="102">
        <v>2</v>
      </c>
      <c r="B16" s="148" t="s">
        <v>221</v>
      </c>
      <c r="C16" s="459" t="s">
        <v>222</v>
      </c>
      <c r="D16" s="460"/>
      <c r="E16" s="102" t="s">
        <v>208</v>
      </c>
      <c r="F16" s="103"/>
      <c r="G16" s="161"/>
      <c r="H16" s="104">
        <f>SUM(H17:H24)</f>
        <v>23.829775174825176</v>
      </c>
    </row>
    <row r="17" spans="1:8" ht="12.75">
      <c r="A17" s="247" t="s">
        <v>44</v>
      </c>
      <c r="B17" s="99" t="s">
        <v>209</v>
      </c>
      <c r="C17" s="106" t="s">
        <v>92</v>
      </c>
      <c r="D17" s="106">
        <v>370</v>
      </c>
      <c r="E17" s="105" t="s">
        <v>210</v>
      </c>
      <c r="F17" s="107">
        <v>0.004956293706293706</v>
      </c>
      <c r="G17" s="235">
        <v>125</v>
      </c>
      <c r="H17" s="108">
        <f>G17*F17</f>
        <v>0.6195367132867133</v>
      </c>
    </row>
    <row r="18" spans="1:8" ht="12.75">
      <c r="A18" s="247" t="s">
        <v>45</v>
      </c>
      <c r="B18" s="99" t="s">
        <v>211</v>
      </c>
      <c r="C18" s="106" t="s">
        <v>92</v>
      </c>
      <c r="D18" s="106">
        <v>34492</v>
      </c>
      <c r="E18" s="105" t="s">
        <v>210</v>
      </c>
      <c r="F18" s="107">
        <v>0.02124125874125874</v>
      </c>
      <c r="G18" s="235">
        <v>490</v>
      </c>
      <c r="H18" s="108">
        <f aca="true" t="shared" si="1" ref="H18:H24">G18*F18</f>
        <v>10.408216783216783</v>
      </c>
    </row>
    <row r="19" spans="1:8" ht="12.75">
      <c r="A19" s="247" t="s">
        <v>46</v>
      </c>
      <c r="B19" s="236" t="s">
        <v>212</v>
      </c>
      <c r="C19" s="106" t="s">
        <v>92</v>
      </c>
      <c r="D19" s="105">
        <v>88243</v>
      </c>
      <c r="E19" s="105" t="s">
        <v>213</v>
      </c>
      <c r="F19" s="107">
        <v>0.06159965034965034</v>
      </c>
      <c r="G19" s="235">
        <v>20.33</v>
      </c>
      <c r="H19" s="108">
        <f t="shared" si="1"/>
        <v>1.2523208916083914</v>
      </c>
    </row>
    <row r="20" spans="1:8" ht="12.75">
      <c r="A20" s="247" t="s">
        <v>47</v>
      </c>
      <c r="B20" s="237" t="s">
        <v>214</v>
      </c>
      <c r="C20" s="106" t="s">
        <v>92</v>
      </c>
      <c r="D20" s="106">
        <v>88309</v>
      </c>
      <c r="E20" s="105" t="s">
        <v>213</v>
      </c>
      <c r="F20" s="107">
        <v>0.15647727272727271</v>
      </c>
      <c r="G20" s="235">
        <v>27.47</v>
      </c>
      <c r="H20" s="108">
        <f t="shared" si="1"/>
        <v>4.298430681818181</v>
      </c>
    </row>
    <row r="21" spans="1:8" ht="12.75">
      <c r="A21" s="247" t="s">
        <v>158</v>
      </c>
      <c r="B21" s="237" t="s">
        <v>215</v>
      </c>
      <c r="C21" s="106" t="s">
        <v>92</v>
      </c>
      <c r="D21" s="106">
        <v>88316</v>
      </c>
      <c r="E21" s="105" t="s">
        <v>213</v>
      </c>
      <c r="F21" s="107">
        <v>0.31295454545454543</v>
      </c>
      <c r="G21" s="235">
        <v>19</v>
      </c>
      <c r="H21" s="108">
        <f t="shared" si="1"/>
        <v>5.946136363636363</v>
      </c>
    </row>
    <row r="22" spans="1:8" ht="12.75">
      <c r="A22" s="247" t="s">
        <v>160</v>
      </c>
      <c r="B22" s="237" t="s">
        <v>216</v>
      </c>
      <c r="C22" s="106" t="s">
        <v>92</v>
      </c>
      <c r="D22" s="106">
        <v>88631</v>
      </c>
      <c r="E22" s="105" t="s">
        <v>210</v>
      </c>
      <c r="F22" s="107">
        <v>0.001416083916083916</v>
      </c>
      <c r="G22" s="235">
        <v>612.89</v>
      </c>
      <c r="H22" s="108">
        <f t="shared" si="1"/>
        <v>0.8679036713286713</v>
      </c>
    </row>
    <row r="23" spans="1:8" ht="12.75">
      <c r="A23" s="247" t="s">
        <v>246</v>
      </c>
      <c r="B23" s="237" t="s">
        <v>217</v>
      </c>
      <c r="C23" s="106" t="s">
        <v>92</v>
      </c>
      <c r="D23" s="106">
        <v>92960</v>
      </c>
      <c r="E23" s="105" t="s">
        <v>218</v>
      </c>
      <c r="F23" s="107">
        <v>0.009912587412587413</v>
      </c>
      <c r="G23" s="235">
        <v>18.96</v>
      </c>
      <c r="H23" s="108">
        <f t="shared" si="1"/>
        <v>0.18794265734265736</v>
      </c>
    </row>
    <row r="24" spans="1:8" ht="12.75">
      <c r="A24" s="247" t="s">
        <v>247</v>
      </c>
      <c r="B24" s="237" t="s">
        <v>217</v>
      </c>
      <c r="C24" s="106" t="s">
        <v>92</v>
      </c>
      <c r="D24" s="106">
        <v>92961</v>
      </c>
      <c r="E24" s="105" t="s">
        <v>219</v>
      </c>
      <c r="F24" s="107">
        <v>0.050979020979020975</v>
      </c>
      <c r="G24" s="235">
        <v>4.89</v>
      </c>
      <c r="H24" s="108">
        <f t="shared" si="1"/>
        <v>0.24928741258741255</v>
      </c>
    </row>
    <row r="26" spans="1:8" ht="12.75">
      <c r="A26" s="241">
        <v>3</v>
      </c>
      <c r="B26" s="242" t="s">
        <v>224</v>
      </c>
      <c r="C26" s="461" t="s">
        <v>228</v>
      </c>
      <c r="D26" s="461"/>
      <c r="E26" s="241" t="s">
        <v>208</v>
      </c>
      <c r="F26" s="241"/>
      <c r="G26" s="243"/>
      <c r="H26" s="243">
        <v>79.17101199999999</v>
      </c>
    </row>
    <row r="27" spans="1:8" ht="12.75">
      <c r="A27" s="244" t="s">
        <v>48</v>
      </c>
      <c r="B27" s="245" t="s">
        <v>225</v>
      </c>
      <c r="C27" s="246" t="s">
        <v>92</v>
      </c>
      <c r="D27" s="61">
        <v>4021</v>
      </c>
      <c r="E27" s="61" t="s">
        <v>21</v>
      </c>
      <c r="F27" s="61">
        <v>2.9</v>
      </c>
      <c r="G27" s="162">
        <v>8.68</v>
      </c>
      <c r="H27" s="162">
        <v>25.171999999999997</v>
      </c>
    </row>
    <row r="28" spans="1:8" ht="12.75">
      <c r="A28" s="244" t="s">
        <v>49</v>
      </c>
      <c r="B28" s="245" t="s">
        <v>226</v>
      </c>
      <c r="C28" s="246" t="s">
        <v>92</v>
      </c>
      <c r="D28" s="61">
        <v>4718</v>
      </c>
      <c r="E28" s="61" t="s">
        <v>18</v>
      </c>
      <c r="F28" s="61">
        <v>0.36860000000000004</v>
      </c>
      <c r="G28" s="162">
        <v>100</v>
      </c>
      <c r="H28" s="162">
        <v>36.86000000000001</v>
      </c>
    </row>
    <row r="29" spans="1:8" ht="63.75">
      <c r="A29" s="244" t="s">
        <v>50</v>
      </c>
      <c r="B29" s="245" t="s">
        <v>227</v>
      </c>
      <c r="C29" s="246" t="s">
        <v>92</v>
      </c>
      <c r="D29" s="61">
        <v>38052</v>
      </c>
      <c r="E29" s="61" t="s">
        <v>14</v>
      </c>
      <c r="F29" s="61">
        <v>1.003</v>
      </c>
      <c r="G29" s="162">
        <v>11.37</v>
      </c>
      <c r="H29" s="162">
        <v>11.404109999999998</v>
      </c>
    </row>
    <row r="30" spans="1:8" ht="12.75">
      <c r="A30" s="244" t="s">
        <v>51</v>
      </c>
      <c r="B30" s="245" t="s">
        <v>214</v>
      </c>
      <c r="C30" s="246" t="s">
        <v>92</v>
      </c>
      <c r="D30" s="61">
        <v>88309</v>
      </c>
      <c r="E30" s="61" t="s">
        <v>213</v>
      </c>
      <c r="F30" s="61">
        <v>0.0702</v>
      </c>
      <c r="G30" s="162">
        <v>26.46</v>
      </c>
      <c r="H30" s="162">
        <v>1.857492</v>
      </c>
    </row>
    <row r="31" spans="1:8" ht="12.75">
      <c r="A31" s="244" t="s">
        <v>75</v>
      </c>
      <c r="B31" s="245" t="s">
        <v>215</v>
      </c>
      <c r="C31" s="246" t="s">
        <v>92</v>
      </c>
      <c r="D31" s="61">
        <v>88316</v>
      </c>
      <c r="E31" s="61" t="s">
        <v>213</v>
      </c>
      <c r="F31" s="61">
        <v>0.2105</v>
      </c>
      <c r="G31" s="162">
        <v>18.42</v>
      </c>
      <c r="H31" s="162">
        <v>3.8774100000000002</v>
      </c>
    </row>
  </sheetData>
  <sheetProtection/>
  <mergeCells count="11">
    <mergeCell ref="C3:C4"/>
    <mergeCell ref="C6:D6"/>
    <mergeCell ref="C16:D16"/>
    <mergeCell ref="C26:D26"/>
    <mergeCell ref="A1:H1"/>
    <mergeCell ref="E3:E4"/>
    <mergeCell ref="A5:H5"/>
    <mergeCell ref="A3:A4"/>
    <mergeCell ref="B3:B4"/>
    <mergeCell ref="D3:D4"/>
    <mergeCell ref="F3:F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PMI_ENG</cp:lastModifiedBy>
  <cp:lastPrinted>2023-11-29T17:11:30Z</cp:lastPrinted>
  <dcterms:created xsi:type="dcterms:W3CDTF">2003-10-24T18:12:58Z</dcterms:created>
  <dcterms:modified xsi:type="dcterms:W3CDTF">2023-11-29T18:54:11Z</dcterms:modified>
  <cp:category/>
  <cp:version/>
  <cp:contentType/>
  <cp:contentStatus/>
</cp:coreProperties>
</file>