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Composição" sheetId="1" r:id="rId1"/>
    <sheet name="BDI" sheetId="2" r:id="rId2"/>
    <sheet name="Jaguatirica" sheetId="3" r:id="rId3"/>
    <sheet name="Cronograma" sheetId="4" r:id="rId4"/>
    <sheet name="cotação" sheetId="5" r:id="rId5"/>
  </sheets>
  <externalReferences>
    <externalReference r:id="rId8"/>
    <externalReference r:id="rId9"/>
  </externalReferences>
  <definedNames>
    <definedName name="_xlnm.Print_Area" localSheetId="1">'BDI'!$A$1:$O$69</definedName>
    <definedName name="_xlnm.Print_Area" localSheetId="2">'Jaguatirica'!$A$1:$K$70</definedName>
    <definedName name="iv">'BDI'!$CT$38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  <definedName name="Texto1" localSheetId="2">'Jaguatirica'!#REF!</definedName>
    <definedName name="Texto10" localSheetId="2">'Jaguatirica'!#REF!</definedName>
    <definedName name="Texto12" localSheetId="2">'Jaguatirica'!#REF!</definedName>
    <definedName name="Texto13" localSheetId="2">'Jaguatirica'!#REF!</definedName>
    <definedName name="Texto14" localSheetId="2">'Jaguatirica'!#REF!</definedName>
    <definedName name="Texto15" localSheetId="2">'Jaguatirica'!#REF!</definedName>
    <definedName name="Texto16" localSheetId="2">'Jaguatirica'!$A$67</definedName>
    <definedName name="Texto16">#REF!</definedName>
    <definedName name="Texto2" localSheetId="2">'Jaguatirica'!#REF!</definedName>
    <definedName name="Texto3" localSheetId="2">'Jaguatirica'!$K$3</definedName>
    <definedName name="Texto4" localSheetId="2">'Jaguatirica'!$A$5</definedName>
    <definedName name="Texto42" localSheetId="2">'Jaguatirica'!#REF!</definedName>
    <definedName name="Texto43" localSheetId="2">'Jaguatirica'!#REF!</definedName>
    <definedName name="Texto5" localSheetId="2">'Jaguatirica'!$I$5</definedName>
    <definedName name="Texto7" localSheetId="2">'Jaguatirica'!#REF!</definedName>
    <definedName name="Texto8" localSheetId="2">'Jaguatirica'!#REF!</definedName>
    <definedName name="Texto9" localSheetId="2">'Jaguatirica'!#REF!</definedName>
  </definedNames>
  <calcPr fullCalcOnLoad="1"/>
</workbook>
</file>

<file path=xl/sharedStrings.xml><?xml version="1.0" encoding="utf-8"?>
<sst xmlns="http://schemas.openxmlformats.org/spreadsheetml/2006/main" count="507" uniqueCount="289">
  <si>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</si>
  <si>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</si>
  <si>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</si>
  <si>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</si>
  <si>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</si>
  <si>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</si>
  <si>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</si>
  <si>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</si>
  <si>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</si>
  <si>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</si>
  <si>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</si>
  <si>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</si>
  <si>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</si>
  <si>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PREÇO UNITÁRIO</t>
  </si>
  <si>
    <t>1.0</t>
  </si>
  <si>
    <t>m</t>
  </si>
  <si>
    <t xml:space="preserve">Total do item </t>
  </si>
  <si>
    <t>2.0</t>
  </si>
  <si>
    <t>4.0</t>
  </si>
  <si>
    <t>unid.</t>
  </si>
  <si>
    <t>m²</t>
  </si>
  <si>
    <t>PLANILHA   A 2</t>
  </si>
  <si>
    <t>FOLHA No           001/001</t>
  </si>
  <si>
    <t xml:space="preserve">PROJETO:  </t>
  </si>
  <si>
    <t>Periodicidade das Estapas: MENSAL</t>
  </si>
  <si>
    <t>PERÍODO</t>
  </si>
  <si>
    <t>Etapa 01</t>
  </si>
  <si>
    <t>Etapa 02</t>
  </si>
  <si>
    <t>Etapa 03</t>
  </si>
  <si>
    <t>Etapa 04</t>
  </si>
  <si>
    <t>Etapa 05</t>
  </si>
  <si>
    <t>R$</t>
  </si>
  <si>
    <t>%</t>
  </si>
  <si>
    <t>TOTAL NO MÊS (SIMPLES)</t>
  </si>
  <si>
    <t>TOTAL NO MÊS (ACUMULADO)</t>
  </si>
  <si>
    <t>ASSINATURA:</t>
  </si>
  <si>
    <t>PAVIMENTAÇÃO SOBRE LEITO NATURAL</t>
  </si>
  <si>
    <t>Imprimação com CM30 ( taxa aplicação= 1,2L/m² )</t>
  </si>
  <si>
    <t>DRENAGEM PLUVIAL</t>
  </si>
  <si>
    <t>m³</t>
  </si>
  <si>
    <t>3.0</t>
  </si>
  <si>
    <t>1.1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</si>
  <si>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</si>
  <si>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</si>
  <si>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</si>
  <si>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</si>
  <si>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</si>
  <si>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</si>
  <si>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</si>
  <si>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</si>
  <si>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</si>
  <si>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4.4</t>
  </si>
  <si>
    <t>4.5</t>
  </si>
  <si>
    <t>4.6</t>
  </si>
  <si>
    <t>5.1</t>
  </si>
  <si>
    <t xml:space="preserve">PLANILHA DE ORÇAMENTO PARA OBRAS E SERVIÇOS DE ENGENHARIA </t>
  </si>
  <si>
    <t xml:space="preserve">PLANILHA DE CRONOGRAMA FÍSICO-FINANCEIRO </t>
  </si>
  <si>
    <t>4.7</t>
  </si>
  <si>
    <t>4.8</t>
  </si>
  <si>
    <t>4.9</t>
  </si>
  <si>
    <t xml:space="preserve">NOME E Nº CREA(OU CAU) DO RESPONSÁVEL TÉCNICO:                                      </t>
  </si>
  <si>
    <t>Regularização  e compactação do sub leito</t>
  </si>
  <si>
    <t>SINALIZAÇÃO</t>
  </si>
  <si>
    <t>ESCAVAÇÕES E TERRAPLENAGEM</t>
  </si>
  <si>
    <t>4.10</t>
  </si>
  <si>
    <t>Compactação de aterro100% P.N.</t>
  </si>
  <si>
    <t>3.5</t>
  </si>
  <si>
    <t>unid</t>
  </si>
  <si>
    <t>5.0</t>
  </si>
  <si>
    <t xml:space="preserve">SERVIÇOS INICIAIS  </t>
  </si>
  <si>
    <t xml:space="preserve">MUNICÍPIO: IPUMIRIM  - SC                                             ORÇAMENTO </t>
  </si>
  <si>
    <t>PAVIMENTAÇÃO ASFALTICA  DE VIA URBANA</t>
  </si>
  <si>
    <t>1.2</t>
  </si>
  <si>
    <t>COMP. 01</t>
  </si>
  <si>
    <t>1.3</t>
  </si>
  <si>
    <t>1.4</t>
  </si>
  <si>
    <t>COMPOSIÇÕES</t>
  </si>
  <si>
    <t>CÓDIGO</t>
  </si>
  <si>
    <t>VALOR</t>
  </si>
  <si>
    <t>CUSTO</t>
  </si>
  <si>
    <t>SINAPI</t>
  </si>
  <si>
    <t>TOTAL (R$)</t>
  </si>
  <si>
    <t>COTAÇÕES</t>
  </si>
  <si>
    <t>Tomador:</t>
  </si>
  <si>
    <t>Município  de IPUMIRIM</t>
  </si>
  <si>
    <t>Município:</t>
  </si>
  <si>
    <t>IPUMIRIM  - SC</t>
  </si>
  <si>
    <t>Em atenção ao estabelecido pelo Acórdão 2622/2013 – TCU – Plenário reformamos a orientação e indicamos a utilização dos seguintes parâmetros para taxas de BDI:</t>
  </si>
  <si>
    <t>Tipo de obra:</t>
  </si>
  <si>
    <t>Construção de Rodovias e Ferrovias</t>
  </si>
  <si>
    <t>Obras que se enquadram no tipo escolhido:</t>
  </si>
  <si>
    <t>Selecione o CPRB</t>
  </si>
  <si>
    <t>Desonerado</t>
  </si>
  <si>
    <t>Onerado</t>
  </si>
  <si>
    <t>Escolha o tipo de obra</t>
  </si>
  <si>
    <t>Alternativa mais vantajosa para a Administração Pública:</t>
  </si>
  <si>
    <t>Construção de edifícios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</si>
  <si>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</si>
  <si>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</si>
  <si>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</si>
  <si>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</si>
  <si>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</si>
  <si>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</si>
  <si>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</si>
  <si>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</si>
  <si>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</si>
  <si>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</si>
  <si>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OBSERVAÇÕES</t>
  </si>
  <si>
    <t>Escolha o regime de contribuição</t>
  </si>
  <si>
    <t>Mín</t>
  </si>
  <si>
    <t>Máx</t>
  </si>
  <si>
    <t>Cálculo s/ os 2%</t>
  </si>
  <si>
    <t>Cálculo c/ os desonerado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</si>
  <si>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</si>
  <si>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SEM DESONERAÇÃO</t>
  </si>
  <si>
    <t>Parâmetro</t>
  </si>
  <si>
    <t>Verificação</t>
  </si>
  <si>
    <t>DESONERADO</t>
  </si>
  <si>
    <t>Falta preencher algum item do BDI:</t>
  </si>
  <si>
    <t>Administração Central</t>
  </si>
  <si>
    <t>Edifícios</t>
  </si>
  <si>
    <t>Rodovias</t>
  </si>
  <si>
    <t>Redes</t>
  </si>
  <si>
    <t>Mín:</t>
  </si>
  <si>
    <t>Máx:</t>
  </si>
  <si>
    <t>Seguros e Garantias</t>
  </si>
  <si>
    <t>Riscos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</si>
  <si>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</si>
  <si>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t>Despesas Financeiras</t>
  </si>
  <si>
    <t>Elétrica</t>
  </si>
  <si>
    <t>Portos</t>
  </si>
  <si>
    <t>Equipamentos</t>
  </si>
  <si>
    <t>Lucro</t>
  </si>
  <si>
    <t>Impostos: PIS</t>
  </si>
  <si>
    <t>Impostos: COFINS</t>
  </si>
  <si>
    <t>Impostos: ISS (mun.)</t>
  </si>
  <si>
    <t>Regime de desoneração (4,5%)</t>
  </si>
  <si>
    <t xml:space="preserve">Prefeito Municipal </t>
  </si>
  <si>
    <t>Pedro Felipe Boettcher Chiarelli - Engenheiro civil - CREA/RS 92428</t>
  </si>
  <si>
    <t>MUNICÍPIO:  IPUMIRIM / SC</t>
  </si>
  <si>
    <r>
      <t xml:space="preserve">NOME: </t>
    </r>
    <r>
      <rPr>
        <sz val="10"/>
        <color indexed="8"/>
        <rFont val="Arial"/>
        <family val="2"/>
      </rPr>
      <t>   Pedro Chiarelli</t>
    </r>
  </si>
  <si>
    <r>
      <t xml:space="preserve">Nº CREA : </t>
    </r>
    <r>
      <rPr>
        <sz val="10"/>
        <color indexed="8"/>
        <rFont val="Arial"/>
        <family val="2"/>
      </rPr>
      <t>     CREA/RS 92428</t>
    </r>
  </si>
  <si>
    <t>Escavação horizontal de solo de 1 categoria com trator de esteiras (100HAP/LAMINA: 2,19m³) af 07/2020</t>
  </si>
  <si>
    <t>ton</t>
  </si>
  <si>
    <t>2.5</t>
  </si>
  <si>
    <t>Escavação horizontal , incluindo escarificação, carga e descarga em solo de 2A categoria com trator de esteiras (347HP/lâmina: 8,70m³). AF 07/2020</t>
  </si>
  <si>
    <t>2.6</t>
  </si>
  <si>
    <r>
      <t>Desmonte de material de 3</t>
    </r>
    <r>
      <rPr>
        <sz val="9"/>
        <rFont val="Calibri"/>
        <family val="2"/>
      </rPr>
      <t>ª</t>
    </r>
    <r>
      <rPr>
        <sz val="9"/>
        <rFont val="Arial"/>
        <family val="2"/>
      </rPr>
      <t xml:space="preserve"> categoria (bloco de rochas ou matacos), com martelete pneumático manual exclusive carga e transporte. AF 03/2021</t>
    </r>
  </si>
  <si>
    <r>
      <t>Escavação mecanizada de vala com prof. Até 1,5m (média montante e jusante/uma composição por trecho) com escavadeira (0,8m³), largura menor que 1,5m em solo de 2</t>
    </r>
    <r>
      <rPr>
        <sz val="9"/>
        <rFont val="Calibri"/>
        <family val="2"/>
      </rPr>
      <t>ª</t>
    </r>
    <r>
      <rPr>
        <sz val="9"/>
        <rFont val="Arial"/>
        <family val="2"/>
      </rPr>
      <t xml:space="preserve"> categoria, local com baixo nível de interferência. AF_02/2021</t>
    </r>
  </si>
  <si>
    <t>Escavação mecânica de vala com prof. Até 1,5m</t>
  </si>
  <si>
    <t>Formas de pinho para dispositivos de drenagem util. 3x confecc. Instalação e retirada</t>
  </si>
  <si>
    <t>1.5</t>
  </si>
  <si>
    <t>1.6</t>
  </si>
  <si>
    <t>Armação em aço CA-50 - fornecimento preparo e colocação</t>
  </si>
  <si>
    <t>kg</t>
  </si>
  <si>
    <t>1.7</t>
  </si>
  <si>
    <t>Alvenaria de embasamento com bloco estrutural de concreto de 19x19x3 com espessura de 20cm - areia extraida</t>
  </si>
  <si>
    <t>PAVIMENTAÇÃO ASFÁLTICA VIAS URBANAS</t>
  </si>
  <si>
    <t>TAMPA E FUNDO</t>
  </si>
  <si>
    <t>PAREDES</t>
  </si>
  <si>
    <t>ESTRADA RURAL LINHA SERRINHA</t>
  </si>
  <si>
    <t>Data de referência dos custos: sinapi 10/21- SICRO SC 07/2021</t>
  </si>
  <si>
    <t>3x3x1,7</t>
  </si>
  <si>
    <t>CAIXA DE PASSAGEM                 1,5 x 1,5  [m²]</t>
  </si>
  <si>
    <t xml:space="preserve">Carga e manobra e descarga de brita para base </t>
  </si>
  <si>
    <t>Carga e manobra e descarga de brita para sub-base</t>
  </si>
  <si>
    <t>5.2</t>
  </si>
  <si>
    <t>5.3</t>
  </si>
  <si>
    <t xml:space="preserve">Placa de regulamentação em aço, R1 lado 0,414m - pelicula refletiva tipo 1 + SI - fornecimento e implantação  </t>
  </si>
  <si>
    <t>Pintura de eixo viário sobre asfalto com tinta retrorefletiva a base de resina acrílica com micro esferas de visro, aplicação mecânica com demarcadora autoproprlida .AF_05/2021om micro esfera (AMARELA)</t>
  </si>
  <si>
    <t>Pintura de eixo viário sobre asfalto com tinta retrorefletiva a base de resina acrílica com micro esferas de visro, aplicação mecânica com demarcadora autoproprlida .AF_05/2021om micro esfera (BRANCA)</t>
  </si>
  <si>
    <t>5.4</t>
  </si>
  <si>
    <t>5.5</t>
  </si>
  <si>
    <t>5.6</t>
  </si>
  <si>
    <t>Suporte metálico galvanizado para placa de advertencia ou regulamentação - lado ou diâmetro de 0,60m - fornecimento e instalação</t>
  </si>
  <si>
    <t>Regularização de superfície com motonoveladora (fundo caixa pavimento)</t>
  </si>
  <si>
    <t>Carga, manobra e descarga de agregados ou solos em caminhão basculante 10m³ - carga com carregadeira 3,40 m³ e descarga livre (bota fora)</t>
  </si>
  <si>
    <t>m³/km</t>
  </si>
  <si>
    <t>4.11</t>
  </si>
  <si>
    <t>4.12</t>
  </si>
  <si>
    <t>ESTRADA RURAL LINHA JAGUATIRICA</t>
  </si>
  <si>
    <t xml:space="preserve">Carga, manobra e descarga de agregados ou solos em caminhão basculante 10m³ - carga com carregadeira 3,40 m³ e descarga livre (aterros) </t>
  </si>
  <si>
    <t>741x1,7</t>
  </si>
  <si>
    <t>20x1,5x2</t>
  </si>
  <si>
    <t>Boca para bueiro simples tubular D=60cm em concreto, alas com esconsidade 0°, incluindo formas e materiais. AF_07/2021</t>
  </si>
  <si>
    <t>Transporte comerc.c/basc.10m³ rod.pav.  - (transpCBUQ) DMT -23,60km</t>
  </si>
  <si>
    <r>
      <t xml:space="preserve">Construção de pavimento com aplicação de Concreto betuminoso usinado a Quente e= </t>
    </r>
    <r>
      <rPr>
        <b/>
        <sz val="9"/>
        <rFont val="Arial"/>
        <family val="2"/>
      </rPr>
      <t>5cm</t>
    </r>
    <r>
      <rPr>
        <sz val="9"/>
        <rFont val="Arial"/>
        <family val="2"/>
      </rPr>
      <t xml:space="preserve">  com execução de corpo de prova p/ verificação de espessura</t>
    </r>
  </si>
  <si>
    <t>Pintura de faixa com plastico a frio bicomponente a base de resinas metacrilixas e=1,5mm (retençao, preferencial, seta e zebrado)</t>
  </si>
  <si>
    <t xml:space="preserve">Placa de advertência em aço, lado 0,60m, película refletiva tipo I - + SI - fornecimento e implantaçãoegulamentação em aço, R1 lado 0,414m - pelicula refletiva tipo 1 + SI - fornecimento e implantação  (proibido ultrapassagem e limite velocidade) </t>
  </si>
  <si>
    <t>4.13</t>
  </si>
  <si>
    <t>Demolição de pavimento asfaltico, de forma mecanizada sem reaproveitamento AF_12/2017 (faixa a margem da SC/154)</t>
  </si>
  <si>
    <t>Pintura de meio-fio com tinta branca a base de cal (caiação) AF_05/2021</t>
  </si>
  <si>
    <t>4.15</t>
  </si>
  <si>
    <t>4.16</t>
  </si>
  <si>
    <t>4.17</t>
  </si>
  <si>
    <t>Plantio de grama em placas .AF_05/2018</t>
  </si>
  <si>
    <t>Grama esmeralda ou São carlos ou Curitibana, sem plantio</t>
  </si>
  <si>
    <r>
      <t>Transporte com caminhão basculante de 14m³, em via urbana pavimentada, adicional para DMT excedente a 30km. (macadame e brita graduada) = usado dmt 23,6km</t>
    </r>
    <r>
      <rPr>
        <b/>
        <sz val="9"/>
        <rFont val="Arial"/>
        <family val="2"/>
      </rPr>
      <t xml:space="preserve"> (base + sub-base)</t>
    </r>
  </si>
  <si>
    <t>FONTE</t>
  </si>
  <si>
    <t>SICRO</t>
  </si>
  <si>
    <t>2.7</t>
  </si>
  <si>
    <t>PINTURA DE LIGAÇÃO (SERVIÇO)</t>
  </si>
  <si>
    <t>M2</t>
  </si>
  <si>
    <t>ANP</t>
  </si>
  <si>
    <t>EMULSÃO ASFÁLTICA RR-2C (+17%ICMS-SC) - INSUMO SICRO 4011353</t>
  </si>
  <si>
    <t>TON</t>
  </si>
  <si>
    <t>4.2</t>
  </si>
  <si>
    <t>4.3</t>
  </si>
  <si>
    <t>4.9.1</t>
  </si>
  <si>
    <t>4.9.2</t>
  </si>
  <si>
    <t>4.10.1</t>
  </si>
  <si>
    <t>composição</t>
  </si>
  <si>
    <t>COMP.2</t>
  </si>
  <si>
    <t>COEFICIE</t>
  </si>
  <si>
    <t>BOCA DE LOBO - bl</t>
  </si>
  <si>
    <t>concreto fck 30MPa traço 1:2,1:2,5 preparo em betoneira</t>
  </si>
  <si>
    <t>Tampa grelha para boca de lobo até 300kN C=90 L=30</t>
  </si>
  <si>
    <t>M2623</t>
  </si>
  <si>
    <t>0407819</t>
  </si>
  <si>
    <t>Reaterro com escavadeira</t>
  </si>
  <si>
    <t>MEIO FIO EXTRUSADO 15 CM BASEX15 CM E 12 CM TOPO (SINAPI 94363 ADAPTADO)</t>
  </si>
  <si>
    <t>M</t>
  </si>
  <si>
    <t>AREIA</t>
  </si>
  <si>
    <t>M3</t>
  </si>
  <si>
    <t>CONCRETO 20 MPA</t>
  </si>
  <si>
    <t>AJUDANTE</t>
  </si>
  <si>
    <t>H</t>
  </si>
  <si>
    <t>PEDREIRO</t>
  </si>
  <si>
    <t>SERVENTE</t>
  </si>
  <si>
    <t>ARGAMASSA</t>
  </si>
  <si>
    <t>MAQUINA EXTRUSORA</t>
  </si>
  <si>
    <t>CHP</t>
  </si>
  <si>
    <t>2.8</t>
  </si>
  <si>
    <t>CHI</t>
  </si>
  <si>
    <t>DRENO 50X80</t>
  </si>
  <si>
    <t>COMP.3</t>
  </si>
  <si>
    <t>GEOTEXTIL</t>
  </si>
  <si>
    <t>BRITA 2</t>
  </si>
  <si>
    <t>m3</t>
  </si>
  <si>
    <t>TUBO DRENO, CORRUGADO, ESPIRALADO, FLEXIVEL, PERFURADO, EM POLIETILENO DE M AS 1,0030000 11,37 11,40
ALTA DENSIDADE (PEAD), DN 100 MM, (4") PARA DRENAGEM</t>
  </si>
  <si>
    <t>COMP.4</t>
  </si>
  <si>
    <t>UNID</t>
  </si>
  <si>
    <t>4718</t>
  </si>
  <si>
    <t>3103302</t>
  </si>
  <si>
    <t>568</t>
  </si>
  <si>
    <t>560</t>
  </si>
  <si>
    <t>1107892</t>
  </si>
  <si>
    <t>ESCAVAÇÃO MECANIZADA DE VALA COM PROF. ATÉ 1,5 M (MÉDIA MONTANTE E JUSANTE/UMA COMPOSIÇÃO POR TRECHO), ESCAVADEIRA (0,8 M3), LARG. DE 1,5 M A 2,5 M, EM SOLO DE 1A CATEGORIA, EM LOCAIS COM ALTO NÍVEL DE INTERFERÊNCIA. AF_02/2021</t>
  </si>
  <si>
    <t>Alvenaria de blocos de concreto 19 x 19 x 39 cm com espessura de 20 cm - areia extraída</t>
  </si>
  <si>
    <t>Concreto fck = 20 MPa - confecção em betoneira e lançamento manual - areia e brita comerciais</t>
  </si>
  <si>
    <t xml:space="preserve">BARRA DE ACO CHATO, RETANGULAR, 50,8 MM X 7,94 MM (L X E), 3,162 KG/M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</si>
  <si>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CANTONEIRA (ABAS IGUAIS) EM ACO CARBONO, 50,8 MM X 9,53 MM (L X E), 6,99 KG/M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</si>
  <si>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Armação em aço CA-50 - fornecimento, preparo e colocação</t>
  </si>
  <si>
    <t>Fôrmas de tábuas de pinho para dispositivos de drenagem - utilização de 3 vezes - confecção, instalação e retirada</t>
  </si>
  <si>
    <t xml:space="preserve">PEDRA BRITADA N. 2 (19 A 38 MM) POSTO PEDREIRA/FORNECEDOR, SEM FRETE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</si>
  <si>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</si>
  <si>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 xml:space="preserve">M3    </t>
  </si>
  <si>
    <t>1107888</t>
  </si>
  <si>
    <t>Concreto fck = 15 MPa - confecção em betoneira e lançamento manual - areia e brita comerciais</t>
  </si>
  <si>
    <t>103689</t>
  </si>
  <si>
    <t>COMPOSIÇÃO</t>
  </si>
  <si>
    <t>COMP.11</t>
  </si>
  <si>
    <t>SERVIÇO DE TOPOGRAFICA PARA LOCAÇÃO DE OBRA (BASEADO NA SINAPI 78442)</t>
  </si>
  <si>
    <t>M²</t>
  </si>
  <si>
    <t>104735</t>
  </si>
  <si>
    <t>REATERRO MECANIZADO DE VALA COM RETROESCAVADEIRA (CAPACIDADE   DA   CAÇAMBA   DA RETRO: 0,26 M³/POTÊNCIA: 88 HP), LARGURA ATÉ 0,8 M, PROFUNDIDADE DE 1,5 A 3,0 M, COM SOLO (SEM SUBSTITUIÇÃO) DE 1ª CATEGORIA, COM PLACA VIBRATÓRIA. AF_08/2023</t>
  </si>
  <si>
    <t>96624</t>
  </si>
  <si>
    <t>LASTRO COM MATERIAL GRANULAR (PEDRA BRITADA N.2), APLICADO EM PISOS OU LAJES SOBRE SOLO, ESPESSURA DE *10 CM*. AF_01/2024</t>
  </si>
  <si>
    <t>3.6</t>
  </si>
  <si>
    <t>3.7</t>
  </si>
  <si>
    <t>92811</t>
  </si>
  <si>
    <t>ASSENTAMENTO DE TUBO DE CONCRETO PARA REDES COLETORAS DE ÁGUAS PLUVIAIS, DIÂMETRO DE 600 MM, JUNTA RÍGIDA, INSTALADO EM LOCAL COM BAIXO NÍVEL DE INTERFERÊNCIAS (NÃO INCLUI FORNECIMENTO). AF_03/2024</t>
  </si>
  <si>
    <t>SINAPI-I</t>
  </si>
  <si>
    <t>7793</t>
  </si>
  <si>
    <t xml:space="preserve">TUBO DE CONCRETO SIMPLES PARA AGUAS PLUVIAIS, CLASSE PS2, COM ENCAIXE PONTA E BOLSA, DIAMETRO NOMINAL DE 600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</si>
  <si>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2003285</t>
  </si>
  <si>
    <t>Sarjeta triangular de concreto - STC 80-17 - escavação mecânica - areia e brita comerciais</t>
  </si>
  <si>
    <t>COMP.10</t>
  </si>
  <si>
    <t>M³</t>
  </si>
  <si>
    <t>COMP.7</t>
  </si>
  <si>
    <r>
      <t xml:space="preserve">EXECUÇÃO E COMPACTAÇÃO DE  SUB BASE PARA PAVIMENTAÇÃO DE MACADAME SECO - EXCLUSIVE CARGA E TRANSPORTE (BASEADO NO SINAPI 96400) </t>
    </r>
    <r>
      <rPr>
        <b/>
        <sz val="9"/>
        <rFont val="Arial"/>
        <family val="2"/>
      </rPr>
      <t>SUB-BASE:14CM</t>
    </r>
  </si>
  <si>
    <r>
      <t xml:space="preserve">EXECUÇÃO DE BASE PARA PAVIMENTAÇÃO DE BRITA GRADUADA SIMPLES - EXCLUSIVE CARGA, TRANSPORTE E MATERIAL GRANULAR </t>
    </r>
    <r>
      <rPr>
        <b/>
        <sz val="9"/>
        <rFont val="Arial"/>
        <family val="2"/>
      </rPr>
      <t>BASE:16CM</t>
    </r>
  </si>
  <si>
    <t>PR/03/2024</t>
  </si>
  <si>
    <t>EMULSÃO ASFÁLTICA PARA SERVIÇO DE IMPRIMAÇÃO (04/2023-PR, CONFORME ANP + 17% DE ICMS)</t>
  </si>
  <si>
    <t>17/06/2024</t>
  </si>
  <si>
    <t>Data de referência dos custos: SINAPI 04/2024 E SICRO 01/2024</t>
  </si>
  <si>
    <t>ok</t>
  </si>
  <si>
    <r>
      <t>FORNECIMENTO E INSTALAÇÃO DE PLACA DE OBRA COM CHAPA GALVANIZADA E ESTRUTURA DE MADEIRA. AF_03/2022_PS</t>
    </r>
    <r>
      <rPr>
        <b/>
        <sz val="9"/>
        <rFont val="Arial"/>
        <family val="2"/>
      </rPr>
      <t>(FORNECIDO PELA MUNICIPALIDADE)</t>
    </r>
  </si>
  <si>
    <t>DATA DO ORÇAMENTO:      17/06/2024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</si>
</sst>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%"/>
    <numFmt numFmtId="188" formatCode="[$-416]dddd\,\ d&quot; de &quot;mmmm&quot; de &quot;yyyy"/>
    <numFmt numFmtId="189" formatCode="#,##0.00_ ;\-#,##0.00\ "/>
    <numFmt numFmtId="190" formatCode="_(* #,##0.000_);_(* \(#,##0.000\);_(* &quot;-&quot;??_);_(@_)"/>
    <numFmt numFmtId="191" formatCode="_(* #,##0.0000_);_(* \(#,##0.0000\);_(* &quot;-&quot;??_);_(@_)"/>
    <numFmt numFmtId="192" formatCode="_-* #,##0.0000_-;\-* #,##0.0000_-;_-* &quot;-&quot;????_-;_-@_-"/>
    <numFmt numFmtId="193" formatCode="&quot;Ativado&quot;;&quot;Ativado&quot;;&quot;Desativado&quot;"/>
    <numFmt numFmtId="194" formatCode="[$€-2]\ #,##0.00_);[Red]\([$€-2]\ #,##0.00\)"/>
    <numFmt numFmtId="195" formatCode="dd\ &quot;de&quot;\ mmmm\ &quot;de&quot;\ yyyy"/>
    <numFmt numFmtId="196" formatCode="&quot;BDI: &quot;0.00%"/>
  </numFmts>
  <fonts count="52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ourier New"/>
      <family val="3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69989061355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0" fontId="0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39" fontId="32" fillId="0" borderId="15" xfId="56" applyNumberFormat="1" applyFont="1" applyBorder="1" applyAlignment="1">
      <alignment horizontal="right" wrapText="1"/>
    </xf>
    <xf numFmtId="10" fontId="32" fillId="0" borderId="15" xfId="53" applyNumberFormat="1" applyFont="1" applyBorder="1" applyAlignment="1">
      <alignment horizontal="center" wrapText="1"/>
    </xf>
    <xf numFmtId="39" fontId="32" fillId="16" borderId="15" xfId="56" applyNumberFormat="1" applyFont="1" applyFill="1" applyBorder="1" applyAlignment="1">
      <alignment horizontal="right" wrapText="1"/>
    </xf>
    <xf numFmtId="10" fontId="32" fillId="16" borderId="16" xfId="53" applyNumberFormat="1" applyFont="1" applyFill="1" applyBorder="1" applyAlignment="1">
      <alignment horizontal="right" wrapText="1"/>
    </xf>
    <xf numFmtId="171" fontId="32" fillId="0" borderId="15" xfId="56" applyNumberFormat="1" applyFont="1" applyBorder="1" applyAlignment="1">
      <alignment horizontal="center" wrapText="1"/>
    </xf>
    <xf numFmtId="37" fontId="32" fillId="0" borderId="15" xfId="56" applyNumberFormat="1" applyFont="1" applyBorder="1" applyAlignment="1">
      <alignment horizontal="center" wrapText="1"/>
    </xf>
    <xf numFmtId="39" fontId="32" fillId="16" borderId="15" xfId="0" applyNumberFormat="1" applyFont="1" applyFill="1" applyBorder="1" applyAlignment="1">
      <alignment horizontal="right" vertical="center" wrapText="1"/>
    </xf>
    <xf numFmtId="39" fontId="32" fillId="16" borderId="15" xfId="0" applyNumberFormat="1" applyFont="1" applyFill="1" applyBorder="1" applyAlignment="1">
      <alignment horizontal="center" vertical="center" wrapText="1"/>
    </xf>
    <xf numFmtId="39" fontId="32" fillId="16" borderId="16" xfId="56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39" fontId="32" fillId="16" borderId="18" xfId="0" applyNumberFormat="1" applyFont="1" applyFill="1" applyBorder="1" applyAlignment="1">
      <alignment horizontal="right" vertical="center" wrapText="1"/>
    </xf>
    <xf numFmtId="39" fontId="32" fillId="16" borderId="18" xfId="0" applyNumberFormat="1" applyFont="1" applyFill="1" applyBorder="1" applyAlignment="1">
      <alignment horizontal="center" vertical="center" wrapText="1"/>
    </xf>
    <xf numFmtId="39" fontId="32" fillId="16" borderId="18" xfId="56" applyNumberFormat="1" applyFont="1" applyFill="1" applyBorder="1" applyAlignment="1">
      <alignment horizontal="right" wrapText="1"/>
    </xf>
    <xf numFmtId="39" fontId="32" fillId="16" borderId="19" xfId="56" applyNumberFormat="1" applyFont="1" applyFill="1" applyBorder="1" applyAlignment="1">
      <alignment horizontal="right" wrapText="1"/>
    </xf>
    <xf numFmtId="10" fontId="32" fillId="0" borderId="0" xfId="53" applyNumberFormat="1" applyFont="1" applyFill="1" applyBorder="1" applyAlignment="1">
      <alignment horizontal="right" wrapText="1"/>
    </xf>
    <xf numFmtId="0" fontId="35" fillId="24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171" fontId="5" fillId="0" borderId="17" xfId="56" applyFont="1" applyBorder="1" applyAlignment="1">
      <alignment horizontal="center" vertical="top"/>
    </xf>
    <xf numFmtId="9" fontId="32" fillId="0" borderId="15" xfId="53" applyFont="1" applyBorder="1" applyAlignment="1">
      <alignment horizontal="center" wrapText="1"/>
    </xf>
    <xf numFmtId="0" fontId="35" fillId="25" borderId="15" xfId="0" applyFont="1" applyFill="1" applyBorder="1" applyAlignment="1">
      <alignment horizontal="center" vertical="center"/>
    </xf>
    <xf numFmtId="10" fontId="0" fillId="25" borderId="15" xfId="0" applyNumberFormat="1" applyFont="1" applyFill="1" applyBorder="1" applyAlignment="1">
      <alignment horizontal="center" vertical="center"/>
    </xf>
    <xf numFmtId="171" fontId="35" fillId="25" borderId="15" xfId="56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171" fontId="0" fillId="25" borderId="15" xfId="56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35" fillId="0" borderId="1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5" fillId="25" borderId="17" xfId="0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 wrapText="1"/>
    </xf>
    <xf numFmtId="3" fontId="35" fillId="25" borderId="17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center" vertical="center" wrapText="1"/>
    </xf>
    <xf numFmtId="1" fontId="35" fillId="25" borderId="15" xfId="0" applyNumberFormat="1" applyFont="1" applyFill="1" applyBorder="1" applyAlignment="1">
      <alignment horizontal="center" vertical="center"/>
    </xf>
    <xf numFmtId="171" fontId="0" fillId="25" borderId="15" xfId="56" applyFont="1" applyFill="1" applyBorder="1" applyAlignment="1">
      <alignment horizontal="center" vertical="center"/>
    </xf>
    <xf numFmtId="171" fontId="0" fillId="24" borderId="16" xfId="56" applyFont="1" applyFill="1" applyBorder="1" applyAlignment="1">
      <alignment horizontal="center" vertical="center" wrapText="1"/>
    </xf>
    <xf numFmtId="171" fontId="0" fillId="0" borderId="20" xfId="56" applyFont="1" applyFill="1" applyBorder="1" applyAlignment="1">
      <alignment horizontal="center" vertical="center"/>
    </xf>
    <xf numFmtId="171" fontId="0" fillId="0" borderId="20" xfId="56" applyFont="1" applyBorder="1" applyAlignment="1">
      <alignment horizontal="center" vertical="center"/>
    </xf>
    <xf numFmtId="10" fontId="5" fillId="24" borderId="20" xfId="0" applyNumberFormat="1" applyFont="1" applyFill="1" applyBorder="1" applyAlignment="1">
      <alignment horizontal="center" vertical="center" wrapText="1"/>
    </xf>
    <xf numFmtId="171" fontId="0" fillId="0" borderId="21" xfId="56" applyFont="1" applyBorder="1" applyAlignment="1">
      <alignment horizontal="center" vertical="center"/>
    </xf>
    <xf numFmtId="171" fontId="0" fillId="0" borderId="15" xfId="56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35" fillId="0" borderId="15" xfId="0" applyNumberFormat="1" applyFont="1" applyFill="1" applyBorder="1" applyAlignment="1">
      <alignment horizontal="center" vertical="center"/>
    </xf>
    <xf numFmtId="10" fontId="0" fillId="24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71" fontId="0" fillId="0" borderId="15" xfId="56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/>
      <protection/>
    </xf>
    <xf numFmtId="10" fontId="0" fillId="0" borderId="0" xfId="54" applyNumberFormat="1" applyFont="1" applyAlignment="1" applyProtection="1">
      <alignment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0" fontId="0" fillId="0" borderId="25" xfId="54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0" fontId="0" fillId="0" borderId="26" xfId="54" applyNumberFormat="1" applyFont="1" applyBorder="1" applyAlignment="1" applyProtection="1">
      <alignment horizontal="center" vertical="center"/>
      <protection/>
    </xf>
    <xf numFmtId="195" fontId="0" fillId="0" borderId="0" xfId="0" applyNumberFormat="1" applyAlignment="1" applyProtection="1">
      <alignment/>
      <protection/>
    </xf>
    <xf numFmtId="10" fontId="12" fillId="0" borderId="27" xfId="0" applyNumberFormat="1" applyFont="1" applyFill="1" applyBorder="1" applyAlignment="1" applyProtection="1">
      <alignment horizontal="center" vertical="center"/>
      <protection/>
    </xf>
    <xf numFmtId="10" fontId="12" fillId="22" borderId="27" xfId="0" applyNumberFormat="1" applyFont="1" applyFill="1" applyBorder="1" applyAlignment="1" applyProtection="1">
      <alignment horizontal="center" vertical="center"/>
      <protection locked="0"/>
    </xf>
    <xf numFmtId="10" fontId="12" fillId="0" borderId="27" xfId="54" applyNumberFormat="1" applyFont="1" applyFill="1" applyBorder="1" applyAlignment="1" applyProtection="1">
      <alignment horizontal="center" vertical="center"/>
      <protection/>
    </xf>
    <xf numFmtId="10" fontId="12" fillId="0" borderId="0" xfId="54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4" fillId="24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25" borderId="17" xfId="0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 wrapText="1"/>
    </xf>
    <xf numFmtId="171" fontId="0" fillId="25" borderId="15" xfId="56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171" fontId="0" fillId="0" borderId="0" xfId="56" applyFont="1" applyAlignment="1">
      <alignment vertical="center"/>
    </xf>
    <xf numFmtId="0" fontId="0" fillId="24" borderId="0" xfId="0" applyFill="1" applyAlignment="1">
      <alignment vertical="center"/>
    </xf>
    <xf numFmtId="0" fontId="2" fillId="26" borderId="10" xfId="0" applyFont="1" applyFill="1" applyBorder="1" applyAlignment="1">
      <alignment vertical="top" wrapText="1"/>
    </xf>
    <xf numFmtId="4" fontId="1" fillId="0" borderId="0" xfId="0" applyNumberFormat="1" applyFont="1" applyBorder="1" applyAlignment="1">
      <alignment horizontal="left" vertical="center"/>
    </xf>
    <xf numFmtId="4" fontId="0" fillId="25" borderId="15" xfId="48" applyNumberFormat="1" applyFont="1" applyFill="1" applyBorder="1" applyAlignment="1">
      <alignment horizontal="center" vertical="center"/>
    </xf>
    <xf numFmtId="4" fontId="48" fillId="0" borderId="20" xfId="48" applyNumberFormat="1" applyFont="1" applyBorder="1" applyAlignment="1">
      <alignment horizontal="center" vertical="center"/>
    </xf>
    <xf numFmtId="4" fontId="0" fillId="25" borderId="15" xfId="48" applyNumberFormat="1" applyFont="1" applyFill="1" applyBorder="1" applyAlignment="1">
      <alignment horizontal="center" vertical="center" wrapText="1"/>
    </xf>
    <xf numFmtId="4" fontId="0" fillId="0" borderId="20" xfId="48" applyNumberFormat="1" applyFont="1" applyBorder="1" applyAlignment="1">
      <alignment horizontal="center" vertical="center"/>
    </xf>
    <xf numFmtId="4" fontId="0" fillId="0" borderId="20" xfId="48" applyNumberFormat="1" applyFont="1" applyBorder="1" applyAlignment="1">
      <alignment horizontal="center" vertical="center"/>
    </xf>
    <xf numFmtId="4" fontId="4" fillId="24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wrapText="1"/>
    </xf>
    <xf numFmtId="4" fontId="11" fillId="0" borderId="0" xfId="0" applyNumberFormat="1" applyFont="1" applyAlignment="1">
      <alignment horizontal="left" wrapText="1"/>
    </xf>
    <xf numFmtId="0" fontId="0" fillId="25" borderId="28" xfId="0" applyFont="1" applyFill="1" applyBorder="1" applyAlignment="1">
      <alignment horizontal="center" vertical="center" wrapText="1"/>
    </xf>
    <xf numFmtId="171" fontId="0" fillId="25" borderId="15" xfId="56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7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2" fontId="0" fillId="25" borderId="15" xfId="48" applyNumberFormat="1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3" fontId="35" fillId="25" borderId="21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 wrapText="1"/>
    </xf>
    <xf numFmtId="0" fontId="35" fillId="25" borderId="17" xfId="0" applyFont="1" applyFill="1" applyBorder="1" applyAlignment="1">
      <alignment horizontal="right" vertical="center"/>
    </xf>
    <xf numFmtId="0" fontId="35" fillId="0" borderId="17" xfId="0" applyFont="1" applyFill="1" applyBorder="1" applyAlignment="1">
      <alignment horizontal="right" vertical="center"/>
    </xf>
    <xf numFmtId="0" fontId="35" fillId="0" borderId="21" xfId="0" applyFont="1" applyFill="1" applyBorder="1" applyAlignment="1">
      <alignment horizontal="right" vertical="center"/>
    </xf>
    <xf numFmtId="2" fontId="0" fillId="0" borderId="15" xfId="48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171" fontId="0" fillId="0" borderId="16" xfId="56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51" applyFont="1" applyAlignment="1">
      <alignment vertical="center"/>
      <protection/>
    </xf>
    <xf numFmtId="0" fontId="37" fillId="0" borderId="0" xfId="51" applyFont="1" applyFill="1" applyAlignment="1">
      <alignment horizontal="left" vertical="center"/>
      <protection/>
    </xf>
    <xf numFmtId="2" fontId="37" fillId="0" borderId="0" xfId="51" applyNumberFormat="1" applyFont="1" applyFill="1" applyAlignment="1">
      <alignment horizontal="left" vertical="center" wrapText="1"/>
      <protection/>
    </xf>
    <xf numFmtId="2" fontId="37" fillId="0" borderId="0" xfId="51" applyNumberFormat="1" applyFont="1" applyFill="1" applyAlignment="1">
      <alignment horizontal="center" vertical="center" wrapText="1"/>
      <protection/>
    </xf>
    <xf numFmtId="49" fontId="37" fillId="0" borderId="0" xfId="51" applyNumberFormat="1" applyFont="1" applyFill="1" applyAlignment="1">
      <alignment horizontal="center" vertical="center"/>
      <protection/>
    </xf>
    <xf numFmtId="0" fontId="37" fillId="0" borderId="0" xfId="51" applyFont="1" applyFill="1" applyAlignment="1">
      <alignment horizontal="center" vertical="center"/>
      <protection/>
    </xf>
    <xf numFmtId="4" fontId="13" fillId="0" borderId="0" xfId="66" applyNumberFormat="1" applyFont="1" applyFill="1" applyBorder="1" applyAlignment="1">
      <alignment horizontal="center" vertical="center"/>
    </xf>
    <xf numFmtId="4" fontId="13" fillId="0" borderId="0" xfId="51" applyNumberFormat="1" applyFont="1" applyFill="1" applyAlignment="1">
      <alignment horizontal="center" vertical="center"/>
      <protection/>
    </xf>
    <xf numFmtId="4" fontId="34" fillId="0" borderId="29" xfId="66" applyNumberFormat="1" applyFont="1" applyFill="1" applyBorder="1" applyAlignment="1">
      <alignment horizontal="center" vertical="center"/>
    </xf>
    <xf numFmtId="4" fontId="34" fillId="0" borderId="30" xfId="51" applyNumberFormat="1" applyFont="1" applyFill="1" applyBorder="1" applyAlignment="1">
      <alignment horizontal="center" vertical="center"/>
      <protection/>
    </xf>
    <xf numFmtId="4" fontId="34" fillId="0" borderId="31" xfId="66" applyNumberFormat="1" applyFont="1" applyFill="1" applyBorder="1" applyAlignment="1">
      <alignment horizontal="center" vertical="center"/>
    </xf>
    <xf numFmtId="4" fontId="34" fillId="0" borderId="32" xfId="51" applyNumberFormat="1" applyFont="1" applyFill="1" applyBorder="1" applyAlignment="1">
      <alignment horizontal="center" vertical="center"/>
      <protection/>
    </xf>
    <xf numFmtId="0" fontId="12" fillId="0" borderId="15" xfId="51" applyFont="1" applyFill="1" applyBorder="1" applyAlignment="1">
      <alignment horizontal="center" vertical="center"/>
      <protection/>
    </xf>
    <xf numFmtId="0" fontId="12" fillId="0" borderId="15" xfId="51" applyFont="1" applyFill="1" applyBorder="1" applyAlignment="1">
      <alignment horizontal="justify" vertical="center" wrapText="1"/>
      <protection/>
    </xf>
    <xf numFmtId="171" fontId="12" fillId="0" borderId="15" xfId="66" applyFont="1" applyFill="1" applyBorder="1" applyAlignment="1">
      <alignment horizontal="center" vertical="center"/>
    </xf>
    <xf numFmtId="4" fontId="12" fillId="0" borderId="15" xfId="66" applyNumberFormat="1" applyFont="1" applyFill="1" applyBorder="1" applyAlignment="1">
      <alignment horizontal="center" vertical="center"/>
    </xf>
    <xf numFmtId="4" fontId="12" fillId="0" borderId="15" xfId="51" applyNumberFormat="1" applyFont="1" applyFill="1" applyBorder="1" applyAlignment="1">
      <alignment horizontal="center" vertical="center"/>
      <protection/>
    </xf>
    <xf numFmtId="0" fontId="0" fillId="0" borderId="15" xfId="51" applyFont="1" applyFill="1" applyBorder="1" applyAlignment="1">
      <alignment horizontal="right" vertical="center"/>
      <protection/>
    </xf>
    <xf numFmtId="0" fontId="0" fillId="0" borderId="15" xfId="51" applyFont="1" applyFill="1" applyBorder="1" applyAlignment="1">
      <alignment horizontal="justify" vertical="center" wrapText="1"/>
      <protection/>
    </xf>
    <xf numFmtId="0" fontId="0" fillId="0" borderId="15" xfId="51" applyFont="1" applyFill="1" applyBorder="1" applyAlignment="1">
      <alignment horizontal="center" vertical="center" wrapText="1"/>
      <protection/>
    </xf>
    <xf numFmtId="49" fontId="0" fillId="0" borderId="15" xfId="51" applyNumberFormat="1" applyFont="1" applyFill="1" applyBorder="1" applyAlignment="1">
      <alignment horizontal="center" vertical="center" wrapText="1"/>
      <protection/>
    </xf>
    <xf numFmtId="0" fontId="0" fillId="0" borderId="15" xfId="51" applyFont="1" applyFill="1" applyBorder="1" applyAlignment="1">
      <alignment horizontal="center" vertical="center"/>
      <protection/>
    </xf>
    <xf numFmtId="171" fontId="0" fillId="0" borderId="15" xfId="66" applyFont="1" applyFill="1" applyBorder="1" applyAlignment="1">
      <alignment horizontal="center" vertical="center"/>
    </xf>
    <xf numFmtId="4" fontId="0" fillId="0" borderId="15" xfId="51" applyNumberFormat="1" applyFont="1" applyFill="1" applyBorder="1" applyAlignment="1">
      <alignment horizontal="center" vertical="center"/>
      <protection/>
    </xf>
    <xf numFmtId="4" fontId="0" fillId="0" borderId="15" xfId="51" applyNumberFormat="1" applyFont="1" applyBorder="1" applyAlignment="1">
      <alignment horizontal="center" vertical="center"/>
      <protection/>
    </xf>
    <xf numFmtId="49" fontId="0" fillId="0" borderId="15" xfId="51" applyNumberFormat="1" applyFont="1" applyBorder="1" applyAlignment="1">
      <alignment horizontal="center" vertical="center"/>
      <protection/>
    </xf>
    <xf numFmtId="0" fontId="0" fillId="0" borderId="15" xfId="51" applyFont="1" applyBorder="1" applyAlignment="1">
      <alignment horizontal="center" vertical="center"/>
      <protection/>
    </xf>
    <xf numFmtId="0" fontId="0" fillId="0" borderId="15" xfId="51" applyFont="1" applyBorder="1" applyAlignment="1">
      <alignment vertical="center" wrapText="1"/>
      <protection/>
    </xf>
    <xf numFmtId="0" fontId="0" fillId="0" borderId="15" xfId="51" applyFont="1" applyBorder="1" applyAlignment="1">
      <alignment horizontal="center" vertical="center" wrapText="1"/>
      <protection/>
    </xf>
    <xf numFmtId="0" fontId="0" fillId="0" borderId="0" xfId="51" applyFont="1" applyAlignment="1">
      <alignment horizontal="center" vertical="center"/>
      <protection/>
    </xf>
    <xf numFmtId="49" fontId="0" fillId="0" borderId="0" xfId="51" applyNumberFormat="1" applyFont="1" applyAlignment="1">
      <alignment horizontal="center" vertical="center"/>
      <protection/>
    </xf>
    <xf numFmtId="4" fontId="0" fillId="0" borderId="0" xfId="51" applyNumberFormat="1" applyFont="1" applyAlignment="1">
      <alignment vertical="center"/>
      <protection/>
    </xf>
    <xf numFmtId="0" fontId="0" fillId="0" borderId="15" xfId="51" applyFont="1" applyFill="1" applyBorder="1" applyAlignment="1">
      <alignment horizontal="left" vertical="center" wrapText="1"/>
      <protection/>
    </xf>
    <xf numFmtId="49" fontId="0" fillId="0" borderId="15" xfId="51" applyNumberFormat="1" applyFont="1" applyFill="1" applyBorder="1" applyAlignment="1">
      <alignment horizontal="center" vertical="center"/>
      <protection/>
    </xf>
    <xf numFmtId="0" fontId="0" fillId="0" borderId="15" xfId="51" applyFont="1" applyFill="1" applyBorder="1" applyAlignment="1">
      <alignment vertical="center" wrapText="1"/>
      <protection/>
    </xf>
    <xf numFmtId="0" fontId="12" fillId="0" borderId="15" xfId="51" applyFont="1" applyBorder="1" applyAlignment="1">
      <alignment horizontal="center" vertical="center"/>
      <protection/>
    </xf>
    <xf numFmtId="0" fontId="12" fillId="0" borderId="15" xfId="51" applyFont="1" applyBorder="1" applyAlignment="1">
      <alignment vertical="center" wrapText="1"/>
      <protection/>
    </xf>
    <xf numFmtId="4" fontId="12" fillId="0" borderId="15" xfId="51" applyNumberFormat="1" applyFont="1" applyBorder="1" applyAlignment="1">
      <alignment horizontal="center" vertical="center"/>
      <protection/>
    </xf>
    <xf numFmtId="0" fontId="0" fillId="0" borderId="15" xfId="51" applyFont="1" applyBorder="1" applyAlignment="1">
      <alignment horizontal="right" vertical="center"/>
      <protection/>
    </xf>
    <xf numFmtId="0" fontId="0" fillId="0" borderId="15" xfId="51" applyFont="1" applyBorder="1" applyAlignment="1">
      <alignment horizontal="left" vertical="center" wrapText="1"/>
      <protection/>
    </xf>
    <xf numFmtId="0" fontId="12" fillId="0" borderId="0" xfId="51" applyFont="1" applyAlignment="1">
      <alignment vertical="center"/>
      <protection/>
    </xf>
    <xf numFmtId="0" fontId="0" fillId="0" borderId="0" xfId="51" applyFont="1" applyAlignment="1">
      <alignment vertical="center" wrapText="1"/>
      <protection/>
    </xf>
    <xf numFmtId="0" fontId="0" fillId="0" borderId="0" xfId="51" applyFont="1" applyAlignment="1">
      <alignment horizontal="center" vertical="center" wrapText="1"/>
      <protection/>
    </xf>
    <xf numFmtId="4" fontId="0" fillId="0" borderId="0" xfId="51" applyNumberFormat="1" applyFont="1" applyAlignment="1">
      <alignment horizontal="center" vertical="center"/>
      <protection/>
    </xf>
    <xf numFmtId="0" fontId="48" fillId="0" borderId="0" xfId="0" applyFont="1" applyAlignment="1">
      <alignment vertical="center"/>
    </xf>
    <xf numFmtId="10" fontId="12" fillId="0" borderId="0" xfId="53" applyNumberFormat="1" applyFont="1" applyAlignment="1">
      <alignment/>
    </xf>
    <xf numFmtId="10" fontId="12" fillId="24" borderId="0" xfId="53" applyNumberFormat="1" applyFont="1" applyFill="1" applyAlignment="1">
      <alignment/>
    </xf>
    <xf numFmtId="0" fontId="49" fillId="25" borderId="21" xfId="0" applyFont="1" applyFill="1" applyBorder="1" applyAlignment="1">
      <alignment horizontal="center" vertical="center"/>
    </xf>
    <xf numFmtId="0" fontId="49" fillId="25" borderId="15" xfId="0" applyFont="1" applyFill="1" applyBorder="1" applyAlignment="1">
      <alignment horizontal="center" vertical="center"/>
    </xf>
    <xf numFmtId="0" fontId="49" fillId="25" borderId="15" xfId="0" applyFont="1" applyFill="1" applyBorder="1" applyAlignment="1">
      <alignment horizontal="center" vertical="center" wrapText="1"/>
    </xf>
    <xf numFmtId="171" fontId="49" fillId="25" borderId="15" xfId="56" applyFont="1" applyFill="1" applyBorder="1" applyAlignment="1">
      <alignment horizontal="center" vertical="center"/>
    </xf>
    <xf numFmtId="171" fontId="50" fillId="25" borderId="15" xfId="56" applyFont="1" applyFill="1" applyBorder="1" applyAlignment="1">
      <alignment horizontal="center" vertical="center"/>
    </xf>
    <xf numFmtId="10" fontId="50" fillId="25" borderId="15" xfId="0" applyNumberFormat="1" applyFont="1" applyFill="1" applyBorder="1" applyAlignment="1">
      <alignment horizontal="center" vertical="center"/>
    </xf>
    <xf numFmtId="4" fontId="50" fillId="25" borderId="15" xfId="48" applyNumberFormat="1" applyFont="1" applyFill="1" applyBorder="1" applyAlignment="1">
      <alignment horizontal="center" vertical="center"/>
    </xf>
    <xf numFmtId="10" fontId="50" fillId="24" borderId="15" xfId="0" applyNumberFormat="1" applyFont="1" applyFill="1" applyBorder="1" applyAlignment="1">
      <alignment horizontal="center" vertical="center" wrapText="1"/>
    </xf>
    <xf numFmtId="4" fontId="50" fillId="24" borderId="15" xfId="0" applyNumberFormat="1" applyFont="1" applyFill="1" applyBorder="1" applyAlignment="1">
      <alignment horizontal="center" vertical="center" wrapText="1"/>
    </xf>
    <xf numFmtId="171" fontId="50" fillId="24" borderId="16" xfId="56" applyFont="1" applyFill="1" applyBorder="1" applyAlignment="1">
      <alignment horizontal="center" vertical="center" wrapText="1"/>
    </xf>
    <xf numFmtId="49" fontId="6" fillId="27" borderId="14" xfId="0" applyNumberFormat="1" applyFont="1" applyFill="1" applyBorder="1" applyAlignment="1">
      <alignment horizontal="center" vertical="center" wrapText="1"/>
    </xf>
    <xf numFmtId="170" fontId="12" fillId="27" borderId="16" xfId="48" applyFont="1" applyFill="1" applyBorder="1" applyAlignment="1">
      <alignment horizontal="center" vertical="center"/>
    </xf>
    <xf numFmtId="170" fontId="12" fillId="27" borderId="16" xfId="48" applyFont="1" applyFill="1" applyBorder="1" applyAlignment="1">
      <alignment horizontal="center" vertical="center" wrapText="1"/>
    </xf>
    <xf numFmtId="170" fontId="51" fillId="28" borderId="19" xfId="48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34" fillId="0" borderId="33" xfId="51" applyFont="1" applyFill="1" applyBorder="1" applyAlignment="1">
      <alignment horizontal="center" vertical="center"/>
      <protection/>
    </xf>
    <xf numFmtId="0" fontId="34" fillId="0" borderId="31" xfId="51" applyFont="1" applyFill="1" applyBorder="1" applyAlignment="1">
      <alignment horizontal="center" vertical="center"/>
      <protection/>
    </xf>
    <xf numFmtId="171" fontId="34" fillId="0" borderId="33" xfId="66" applyFont="1" applyFill="1" applyBorder="1" applyAlignment="1">
      <alignment horizontal="center" vertical="center"/>
    </xf>
    <xf numFmtId="171" fontId="34" fillId="0" borderId="31" xfId="66" applyFont="1" applyFill="1" applyBorder="1" applyAlignment="1">
      <alignment horizontal="center" vertical="center"/>
    </xf>
    <xf numFmtId="0" fontId="34" fillId="0" borderId="34" xfId="51" applyFont="1" applyFill="1" applyBorder="1" applyAlignment="1">
      <alignment horizontal="center" vertical="center"/>
      <protection/>
    </xf>
    <xf numFmtId="0" fontId="34" fillId="0" borderId="35" xfId="51" applyFont="1" applyFill="1" applyBorder="1" applyAlignment="1">
      <alignment horizontal="center" vertical="center"/>
      <protection/>
    </xf>
    <xf numFmtId="0" fontId="34" fillId="0" borderId="36" xfId="51" applyFont="1" applyFill="1" applyBorder="1" applyAlignment="1">
      <alignment horizontal="center" vertical="center"/>
      <protection/>
    </xf>
    <xf numFmtId="0" fontId="12" fillId="0" borderId="28" xfId="51" applyFont="1" applyFill="1" applyBorder="1" applyAlignment="1">
      <alignment horizontal="center" vertical="center"/>
      <protection/>
    </xf>
    <xf numFmtId="0" fontId="12" fillId="0" borderId="21" xfId="51" applyFont="1" applyFill="1" applyBorder="1" applyAlignment="1">
      <alignment horizontal="center" vertical="center"/>
      <protection/>
    </xf>
    <xf numFmtId="0" fontId="12" fillId="0" borderId="28" xfId="51" applyFont="1" applyFill="1" applyBorder="1" applyAlignment="1">
      <alignment horizontal="center" vertical="center" wrapText="1"/>
      <protection/>
    </xf>
    <xf numFmtId="0" fontId="12" fillId="0" borderId="21" xfId="51" applyFont="1" applyFill="1" applyBorder="1" applyAlignment="1">
      <alignment horizontal="center" vertical="center" wrapText="1"/>
      <protection/>
    </xf>
    <xf numFmtId="0" fontId="12" fillId="0" borderId="15" xfId="51" applyFont="1" applyBorder="1" applyAlignment="1">
      <alignment horizontal="center" vertical="center"/>
      <protection/>
    </xf>
    <xf numFmtId="0" fontId="12" fillId="0" borderId="15" xfId="51" applyFont="1" applyBorder="1" applyAlignment="1">
      <alignment horizontal="center" vertical="center" wrapText="1"/>
      <protection/>
    </xf>
    <xf numFmtId="0" fontId="34" fillId="0" borderId="37" xfId="51" applyFont="1" applyFill="1" applyBorder="1" applyAlignment="1">
      <alignment horizontal="center" vertical="center"/>
      <protection/>
    </xf>
    <xf numFmtId="0" fontId="34" fillId="0" borderId="38" xfId="51" applyFont="1" applyFill="1" applyBorder="1" applyAlignment="1">
      <alignment horizontal="center" vertical="center"/>
      <protection/>
    </xf>
    <xf numFmtId="0" fontId="34" fillId="0" borderId="39" xfId="51" applyFont="1" applyFill="1" applyBorder="1" applyAlignment="1">
      <alignment horizontal="center" vertical="center"/>
      <protection/>
    </xf>
    <xf numFmtId="0" fontId="34" fillId="0" borderId="40" xfId="51" applyFont="1" applyFill="1" applyBorder="1" applyAlignment="1">
      <alignment horizontal="center" vertical="center"/>
      <protection/>
    </xf>
    <xf numFmtId="0" fontId="34" fillId="0" borderId="41" xfId="51" applyFont="1" applyFill="1" applyBorder="1" applyAlignment="1">
      <alignment horizontal="center" vertical="center"/>
      <protection/>
    </xf>
    <xf numFmtId="0" fontId="34" fillId="0" borderId="33" xfId="51" applyFont="1" applyFill="1" applyBorder="1" applyAlignment="1">
      <alignment horizontal="center" vertical="center" wrapText="1"/>
      <protection/>
    </xf>
    <xf numFmtId="0" fontId="34" fillId="0" borderId="31" xfId="51" applyFont="1" applyFill="1" applyBorder="1" applyAlignment="1">
      <alignment horizontal="center" vertical="center" wrapText="1"/>
      <protection/>
    </xf>
    <xf numFmtId="49" fontId="34" fillId="0" borderId="33" xfId="51" applyNumberFormat="1" applyFont="1" applyFill="1" applyBorder="1" applyAlignment="1">
      <alignment horizontal="center" vertical="center"/>
      <protection/>
    </xf>
    <xf numFmtId="49" fontId="34" fillId="0" borderId="31" xfId="51" applyNumberFormat="1" applyFont="1" applyFill="1" applyBorder="1" applyAlignment="1">
      <alignment horizontal="center" vertical="center"/>
      <protection/>
    </xf>
    <xf numFmtId="0" fontId="37" fillId="0" borderId="17" xfId="0" applyFont="1" applyFill="1" applyBorder="1" applyAlignment="1" applyProtection="1">
      <alignment horizontal="center" vertical="center" wrapText="1"/>
      <protection/>
    </xf>
    <xf numFmtId="0" fontId="37" fillId="0" borderId="15" xfId="0" applyFont="1" applyFill="1" applyBorder="1" applyAlignment="1" applyProtection="1">
      <alignment horizontal="center" vertical="center" wrapText="1"/>
      <protection/>
    </xf>
    <xf numFmtId="0" fontId="37" fillId="0" borderId="28" xfId="0" applyFont="1" applyFill="1" applyBorder="1" applyAlignment="1" applyProtection="1">
      <alignment horizontal="center" vertical="center" wrapText="1"/>
      <protection/>
    </xf>
    <xf numFmtId="0" fontId="13" fillId="22" borderId="15" xfId="0" applyFont="1" applyFill="1" applyBorder="1" applyAlignment="1" applyProtection="1">
      <alignment horizontal="center" vertical="center" wrapText="1"/>
      <protection locked="0"/>
    </xf>
    <xf numFmtId="0" fontId="13" fillId="22" borderId="16" xfId="0" applyFont="1" applyFill="1" applyBorder="1" applyAlignment="1" applyProtection="1">
      <alignment horizontal="center" vertical="center" wrapText="1"/>
      <protection locked="0"/>
    </xf>
    <xf numFmtId="0" fontId="37" fillId="0" borderId="42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0" fontId="37" fillId="0" borderId="43" xfId="0" applyFont="1" applyFill="1" applyBorder="1" applyAlignment="1" applyProtection="1">
      <alignment horizontal="center" vertical="center" wrapText="1"/>
      <protection/>
    </xf>
    <xf numFmtId="0" fontId="13" fillId="22" borderId="18" xfId="0" applyFont="1" applyFill="1" applyBorder="1" applyAlignment="1" applyProtection="1">
      <alignment horizontal="center" vertical="center" wrapText="1"/>
      <protection locked="0"/>
    </xf>
    <xf numFmtId="0" fontId="13" fillId="22" borderId="19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38" fillId="0" borderId="44" xfId="0" applyFont="1" applyBorder="1" applyAlignment="1" applyProtection="1">
      <alignment horizontal="center" vertical="center" wrapText="1"/>
      <protection/>
    </xf>
    <xf numFmtId="0" fontId="38" fillId="0" borderId="45" xfId="0" applyFont="1" applyBorder="1" applyAlignment="1" applyProtection="1">
      <alignment horizontal="center" vertical="center" wrapText="1"/>
      <protection/>
    </xf>
    <xf numFmtId="0" fontId="38" fillId="0" borderId="46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24" xfId="0" applyFont="1" applyBorder="1" applyAlignment="1" applyProtection="1">
      <alignment horizontal="center" vertical="center" wrapText="1"/>
      <protection/>
    </xf>
    <xf numFmtId="0" fontId="38" fillId="0" borderId="25" xfId="0" applyFont="1" applyBorder="1" applyAlignment="1" applyProtection="1">
      <alignment horizontal="center" vertical="center" wrapText="1"/>
      <protection/>
    </xf>
    <xf numFmtId="0" fontId="38" fillId="0" borderId="26" xfId="0" applyFont="1" applyBorder="1" applyAlignment="1" applyProtection="1">
      <alignment horizontal="center" vertical="center" wrapText="1"/>
      <protection/>
    </xf>
    <xf numFmtId="0" fontId="0" fillId="22" borderId="44" xfId="0" applyFill="1" applyBorder="1" applyAlignment="1" applyProtection="1">
      <alignment horizontal="center" vertical="center" wrapText="1"/>
      <protection locked="0"/>
    </xf>
    <xf numFmtId="0" fontId="0" fillId="22" borderId="45" xfId="0" applyFill="1" applyBorder="1" applyAlignment="1" applyProtection="1">
      <alignment horizontal="center" vertical="center" wrapText="1"/>
      <protection locked="0"/>
    </xf>
    <xf numFmtId="0" fontId="0" fillId="22" borderId="46" xfId="0" applyFill="1" applyBorder="1" applyAlignment="1" applyProtection="1">
      <alignment horizontal="center" vertical="center" wrapText="1"/>
      <protection locked="0"/>
    </xf>
    <xf numFmtId="0" fontId="0" fillId="22" borderId="11" xfId="0" applyFill="1" applyBorder="1" applyAlignment="1" applyProtection="1">
      <alignment horizontal="center" vertical="center" wrapText="1"/>
      <protection locked="0"/>
    </xf>
    <xf numFmtId="0" fontId="0" fillId="22" borderId="0" xfId="0" applyFill="1" applyBorder="1" applyAlignment="1" applyProtection="1">
      <alignment horizontal="center" vertical="center" wrapText="1"/>
      <protection locked="0"/>
    </xf>
    <xf numFmtId="0" fontId="0" fillId="22" borderId="12" xfId="0" applyFill="1" applyBorder="1" applyAlignment="1" applyProtection="1">
      <alignment horizontal="center" vertical="center" wrapText="1"/>
      <protection locked="0"/>
    </xf>
    <xf numFmtId="0" fontId="0" fillId="22" borderId="24" xfId="0" applyFill="1" applyBorder="1" applyAlignment="1" applyProtection="1">
      <alignment horizontal="center" vertical="center" wrapText="1"/>
      <protection locked="0"/>
    </xf>
    <xf numFmtId="0" fontId="0" fillId="22" borderId="25" xfId="0" applyFill="1" applyBorder="1" applyAlignment="1" applyProtection="1">
      <alignment horizontal="center" vertical="center" wrapText="1"/>
      <protection locked="0"/>
    </xf>
    <xf numFmtId="0" fontId="0" fillId="22" borderId="26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0" fillId="22" borderId="11" xfId="0" applyFill="1" applyBorder="1" applyAlignment="1" applyProtection="1">
      <alignment horizontal="center" vertical="center"/>
      <protection locked="0"/>
    </xf>
    <xf numFmtId="0" fontId="0" fillId="22" borderId="0" xfId="0" applyFill="1" applyBorder="1" applyAlignment="1" applyProtection="1">
      <alignment horizontal="center" vertical="center"/>
      <protection locked="0"/>
    </xf>
    <xf numFmtId="0" fontId="0" fillId="22" borderId="12" xfId="0" applyFill="1" applyBorder="1" applyAlignment="1" applyProtection="1">
      <alignment horizontal="center" vertical="center"/>
      <protection locked="0"/>
    </xf>
    <xf numFmtId="0" fontId="0" fillId="22" borderId="24" xfId="0" applyFill="1" applyBorder="1" applyAlignment="1" applyProtection="1">
      <alignment horizontal="center" vertical="center"/>
      <protection locked="0"/>
    </xf>
    <xf numFmtId="0" fontId="0" fillId="22" borderId="25" xfId="0" applyFill="1" applyBorder="1" applyAlignment="1" applyProtection="1">
      <alignment horizontal="center" vertical="center"/>
      <protection locked="0"/>
    </xf>
    <xf numFmtId="0" fontId="0" fillId="22" borderId="26" xfId="0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10" fontId="39" fillId="0" borderId="44" xfId="0" applyNumberFormat="1" applyFont="1" applyBorder="1" applyAlignment="1" applyProtection="1">
      <alignment horizontal="center" vertical="center" wrapText="1"/>
      <protection/>
    </xf>
    <xf numFmtId="10" fontId="39" fillId="0" borderId="45" xfId="0" applyNumberFormat="1" applyFont="1" applyBorder="1" applyAlignment="1" applyProtection="1">
      <alignment horizontal="center" vertical="center" wrapText="1"/>
      <protection/>
    </xf>
    <xf numFmtId="10" fontId="39" fillId="0" borderId="46" xfId="0" applyNumberFormat="1" applyFont="1" applyBorder="1" applyAlignment="1" applyProtection="1">
      <alignment horizontal="center" vertical="center" wrapText="1"/>
      <protection/>
    </xf>
    <xf numFmtId="10" fontId="39" fillId="0" borderId="11" xfId="0" applyNumberFormat="1" applyFont="1" applyBorder="1" applyAlignment="1" applyProtection="1">
      <alignment horizontal="center" vertical="center" wrapText="1"/>
      <protection/>
    </xf>
    <xf numFmtId="10" fontId="39" fillId="0" borderId="0" xfId="0" applyNumberFormat="1" applyFont="1" applyBorder="1" applyAlignment="1" applyProtection="1">
      <alignment horizontal="center" vertical="center" wrapText="1"/>
      <protection/>
    </xf>
    <xf numFmtId="10" fontId="39" fillId="0" borderId="12" xfId="0" applyNumberFormat="1" applyFont="1" applyBorder="1" applyAlignment="1" applyProtection="1">
      <alignment horizontal="center" vertical="center" wrapText="1"/>
      <protection/>
    </xf>
    <xf numFmtId="10" fontId="39" fillId="0" borderId="24" xfId="0" applyNumberFormat="1" applyFont="1" applyBorder="1" applyAlignment="1" applyProtection="1">
      <alignment horizontal="center" vertical="center" wrapText="1"/>
      <protection/>
    </xf>
    <xf numFmtId="10" fontId="39" fillId="0" borderId="25" xfId="0" applyNumberFormat="1" applyFont="1" applyBorder="1" applyAlignment="1" applyProtection="1">
      <alignment horizontal="center" vertical="center" wrapText="1"/>
      <protection/>
    </xf>
    <xf numFmtId="10" fontId="39" fillId="0" borderId="26" xfId="0" applyNumberFormat="1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6" xfId="0" applyFont="1" applyBorder="1" applyAlignment="1" applyProtection="1">
      <alignment horizontal="center" vertical="center"/>
      <protection/>
    </xf>
    <xf numFmtId="10" fontId="12" fillId="22" borderId="46" xfId="0" applyNumberFormat="1" applyFont="1" applyFill="1" applyBorder="1" applyAlignment="1" applyProtection="1">
      <alignment horizontal="center" vertical="center"/>
      <protection locked="0"/>
    </xf>
    <xf numFmtId="10" fontId="12" fillId="22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top" wrapText="1"/>
    </xf>
    <xf numFmtId="0" fontId="9" fillId="16" borderId="29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47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vertical="center" wrapText="1"/>
    </xf>
    <xf numFmtId="0" fontId="9" fillId="16" borderId="48" xfId="0" applyFont="1" applyFill="1" applyBorder="1" applyAlignment="1">
      <alignment horizontal="right" vertical="center" wrapText="1"/>
    </xf>
    <xf numFmtId="0" fontId="9" fillId="16" borderId="49" xfId="0" applyFont="1" applyFill="1" applyBorder="1" applyAlignment="1">
      <alignment horizontal="right" vertical="center" wrapText="1"/>
    </xf>
    <xf numFmtId="0" fontId="9" fillId="16" borderId="50" xfId="0" applyFont="1" applyFill="1" applyBorder="1" applyAlignment="1">
      <alignment horizontal="right" vertical="center" wrapText="1"/>
    </xf>
    <xf numFmtId="14" fontId="9" fillId="0" borderId="51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57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4" fontId="12" fillId="16" borderId="29" xfId="0" applyNumberFormat="1" applyFont="1" applyFill="1" applyBorder="1" applyAlignment="1">
      <alignment horizontal="center" vertical="center" wrapText="1"/>
    </xf>
    <xf numFmtId="4" fontId="12" fillId="16" borderId="15" xfId="0" applyNumberFormat="1" applyFont="1" applyFill="1" applyBorder="1" applyAlignment="1">
      <alignment horizontal="center" vertical="center" wrapText="1"/>
    </xf>
    <xf numFmtId="0" fontId="9" fillId="16" borderId="33" xfId="0" applyFont="1" applyFill="1" applyBorder="1" applyAlignment="1">
      <alignment horizontal="center" vertical="center" wrapText="1"/>
    </xf>
    <xf numFmtId="0" fontId="9" fillId="16" borderId="61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9" fillId="16" borderId="62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27" borderId="28" xfId="0" applyFont="1" applyFill="1" applyBorder="1" applyAlignment="1">
      <alignment horizontal="left" vertical="center" wrapText="1"/>
    </xf>
    <xf numFmtId="0" fontId="1" fillId="27" borderId="20" xfId="0" applyFont="1" applyFill="1" applyBorder="1" applyAlignment="1">
      <alignment horizontal="left" vertical="center" wrapText="1"/>
    </xf>
    <xf numFmtId="0" fontId="1" fillId="27" borderId="60" xfId="0" applyFont="1" applyFill="1" applyBorder="1" applyAlignment="1">
      <alignment horizontal="left" vertical="center" wrapText="1"/>
    </xf>
    <xf numFmtId="0" fontId="44" fillId="27" borderId="0" xfId="0" applyFont="1" applyFill="1" applyBorder="1" applyAlignment="1">
      <alignment horizontal="center" vertical="center" wrapText="1"/>
    </xf>
    <xf numFmtId="0" fontId="44" fillId="27" borderId="53" xfId="0" applyFont="1" applyFill="1" applyBorder="1" applyAlignment="1">
      <alignment horizontal="center" vertical="center" wrapText="1"/>
    </xf>
    <xf numFmtId="0" fontId="44" fillId="27" borderId="22" xfId="0" applyFont="1" applyFill="1" applyBorder="1" applyAlignment="1">
      <alignment horizontal="center" vertical="center" wrapText="1"/>
    </xf>
    <xf numFmtId="0" fontId="44" fillId="27" borderId="64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24" borderId="28" xfId="0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34" fillId="24" borderId="60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96" fontId="1" fillId="0" borderId="28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2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45" applyAlignment="1" applyProtection="1">
      <alignment horizontal="center"/>
      <protection/>
    </xf>
    <xf numFmtId="0" fontId="5" fillId="0" borderId="15" xfId="0" applyFont="1" applyBorder="1" applyAlignment="1">
      <alignment horizontal="justify" vertical="top" wrapText="1"/>
    </xf>
    <xf numFmtId="0" fontId="0" fillId="0" borderId="15" xfId="0" applyBorder="1" applyAlignment="1">
      <alignment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5" xfId="0" applyFont="1" applyFill="1" applyBorder="1" applyAlignment="1">
      <alignment horizontal="center" vertical="top" wrapText="1"/>
    </xf>
    <xf numFmtId="0" fontId="2" fillId="16" borderId="42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33" fillId="26" borderId="24" xfId="0" applyFont="1" applyFill="1" applyBorder="1" applyAlignment="1">
      <alignment horizontal="left" vertical="top" wrapText="1"/>
    </xf>
    <xf numFmtId="0" fontId="33" fillId="26" borderId="25" xfId="0" applyFont="1" applyFill="1" applyBorder="1" applyAlignment="1">
      <alignment horizontal="left" vertical="top" wrapText="1"/>
    </xf>
    <xf numFmtId="0" fontId="33" fillId="26" borderId="54" xfId="0" applyFont="1" applyFill="1" applyBorder="1" applyAlignment="1">
      <alignment horizontal="left" vertical="top" wrapText="1"/>
    </xf>
    <xf numFmtId="0" fontId="33" fillId="0" borderId="58" xfId="0" applyFont="1" applyBorder="1" applyAlignment="1">
      <alignment horizontal="left" vertical="top" wrapText="1"/>
    </xf>
    <xf numFmtId="0" fontId="33" fillId="0" borderId="25" xfId="0" applyFont="1" applyBorder="1" applyAlignment="1">
      <alignment horizontal="left" vertical="top" wrapText="1"/>
    </xf>
    <xf numFmtId="0" fontId="33" fillId="0" borderId="54" xfId="0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2" fillId="16" borderId="17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wrapText="1"/>
    </xf>
    <xf numFmtId="0" fontId="9" fillId="16" borderId="16" xfId="0" applyFont="1" applyFill="1" applyBorder="1" applyAlignment="1">
      <alignment horizontal="center" wrapText="1"/>
    </xf>
    <xf numFmtId="0" fontId="12" fillId="16" borderId="28" xfId="0" applyFont="1" applyFill="1" applyBorder="1" applyAlignment="1">
      <alignment horizontal="center"/>
    </xf>
    <xf numFmtId="0" fontId="12" fillId="16" borderId="20" xfId="0" applyFont="1" applyFill="1" applyBorder="1" applyAlignment="1">
      <alignment horizontal="center"/>
    </xf>
    <xf numFmtId="0" fontId="1" fillId="0" borderId="5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31" fillId="0" borderId="55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9" fillId="27" borderId="55" xfId="0" applyFont="1" applyFill="1" applyBorder="1" applyAlignment="1">
      <alignment horizontal="center" vertical="center" wrapText="1"/>
    </xf>
    <xf numFmtId="0" fontId="9" fillId="27" borderId="13" xfId="0" applyFont="1" applyFill="1" applyBorder="1" applyAlignment="1">
      <alignment horizontal="center" vertical="center" wrapText="1"/>
    </xf>
    <xf numFmtId="0" fontId="9" fillId="27" borderId="52" xfId="0" applyFont="1" applyFill="1" applyBorder="1" applyAlignment="1">
      <alignment horizontal="center" vertical="center" wrapText="1"/>
    </xf>
    <xf numFmtId="0" fontId="9" fillId="27" borderId="65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9" fillId="27" borderId="64" xfId="0" applyFont="1" applyFill="1" applyBorder="1" applyAlignment="1">
      <alignment horizontal="center" vertical="center" wrapText="1"/>
    </xf>
    <xf numFmtId="0" fontId="12" fillId="26" borderId="28" xfId="0" applyFont="1" applyFill="1" applyBorder="1" applyAlignment="1">
      <alignment horizontal="left" vertical="center"/>
    </xf>
    <xf numFmtId="0" fontId="12" fillId="26" borderId="20" xfId="0" applyFont="1" applyFill="1" applyBorder="1" applyAlignment="1">
      <alignment horizontal="left" vertical="center"/>
    </xf>
    <xf numFmtId="0" fontId="12" fillId="26" borderId="21" xfId="0" applyFont="1" applyFill="1" applyBorder="1" applyAlignment="1">
      <alignment horizontal="left" vertical="center"/>
    </xf>
    <xf numFmtId="14" fontId="31" fillId="26" borderId="55" xfId="0" applyNumberFormat="1" applyFont="1" applyFill="1" applyBorder="1" applyAlignment="1">
      <alignment horizontal="center" vertical="top" wrapText="1"/>
    </xf>
    <xf numFmtId="0" fontId="31" fillId="26" borderId="57" xfId="0" applyFont="1" applyFill="1" applyBorder="1" applyAlignment="1">
      <alignment horizontal="center" vertical="top" wrapText="1"/>
    </xf>
    <xf numFmtId="0" fontId="31" fillId="26" borderId="65" xfId="0" applyFont="1" applyFill="1" applyBorder="1" applyAlignment="1">
      <alignment horizontal="center" vertical="top" wrapText="1"/>
    </xf>
    <xf numFmtId="0" fontId="31" fillId="26" borderId="66" xfId="0" applyFont="1" applyFill="1" applyBorder="1" applyAlignment="1">
      <alignment horizontal="center" vertical="top" wrapText="1"/>
    </xf>
    <xf numFmtId="0" fontId="1" fillId="0" borderId="5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38</xdr:row>
      <xdr:rowOff>66675</xdr:rowOff>
    </xdr:from>
    <xdr:to>
      <xdr:col>13</xdr:col>
      <xdr:colOff>466725</xdr:colOff>
      <xdr:row>42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7267575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37</xdr:row>
      <xdr:rowOff>38100</xdr:rowOff>
    </xdr:from>
    <xdr:to>
      <xdr:col>13</xdr:col>
      <xdr:colOff>257175</xdr:colOff>
      <xdr:row>38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6450" y="6991350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m-server\Plano_Diretor\CONVENIOS_SICONV\CONV&#202;NIOS\ESTADO%20DE%20SANTA%20CATARINA\2013\FUNDAM\Projetos%20de%20Pavimenta&#231;&#227;o\PAVIMENTA&#199;&#195;O%20COM%20PEDRA%20IRREGULAR\Planilha-A1_Orcamento%20Asfal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m-server\Plano_Diretor\Users\Pedro\Desktop\Documents\Downloads\BDI%20%20ipumirim%20desonerado%2021,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</sheetNames>
    <sheetDataSet>
      <sheetData sheetId="0">
        <row r="12">
          <cell r="A12" t="str">
            <v>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">
      <pane xSplit="8" ySplit="4" topLeftCell="I2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27" sqref="B27"/>
    </sheetView>
  </sheetViews>
  <sheetFormatPr defaultColWidth="8.8515625" defaultRowHeight="12.75"/>
  <cols>
    <col min="1" max="1" width="8.8515625" style="150" customWidth="1"/>
    <col min="2" max="2" width="42.8515625" style="191" customWidth="1"/>
    <col min="3" max="3" width="8.421875" style="192" bestFit="1" customWidth="1"/>
    <col min="4" max="4" width="11.421875" style="180" bestFit="1" customWidth="1"/>
    <col min="5" max="5" width="13.28125" style="179" customWidth="1"/>
    <col min="6" max="6" width="15.28125" style="179" customWidth="1"/>
    <col min="7" max="7" width="8.8515625" style="193" customWidth="1"/>
    <col min="8" max="8" width="13.00390625" style="193" bestFit="1" customWidth="1"/>
    <col min="9" max="9" width="5.28125" style="150" customWidth="1"/>
    <col min="10" max="12" width="8.8515625" style="150" customWidth="1"/>
    <col min="13" max="13" width="39.7109375" style="150" customWidth="1"/>
    <col min="14" max="16384" width="8.8515625" style="150" customWidth="1"/>
  </cols>
  <sheetData>
    <row r="1" spans="1:8" ht="13.5" thickBot="1">
      <c r="A1" s="226" t="s">
        <v>76</v>
      </c>
      <c r="B1" s="227"/>
      <c r="C1" s="227"/>
      <c r="D1" s="227"/>
      <c r="E1" s="227"/>
      <c r="F1" s="227"/>
      <c r="G1" s="227"/>
      <c r="H1" s="228"/>
    </row>
    <row r="2" spans="1:8" ht="16.5" thickBot="1">
      <c r="A2" s="151"/>
      <c r="B2" s="152"/>
      <c r="C2" s="153"/>
      <c r="D2" s="154"/>
      <c r="E2" s="155"/>
      <c r="F2" s="155"/>
      <c r="G2" s="156"/>
      <c r="H2" s="157"/>
    </row>
    <row r="3" spans="1:8" ht="12.75">
      <c r="A3" s="229" t="s">
        <v>0</v>
      </c>
      <c r="B3" s="231" t="s">
        <v>1</v>
      </c>
      <c r="C3" s="231" t="s">
        <v>198</v>
      </c>
      <c r="D3" s="233" t="s">
        <v>77</v>
      </c>
      <c r="E3" s="213" t="s">
        <v>2</v>
      </c>
      <c r="F3" s="215" t="s">
        <v>213</v>
      </c>
      <c r="G3" s="158" t="s">
        <v>78</v>
      </c>
      <c r="H3" s="159" t="s">
        <v>79</v>
      </c>
    </row>
    <row r="4" spans="1:8" ht="23.25" customHeight="1" thickBot="1">
      <c r="A4" s="230"/>
      <c r="B4" s="232"/>
      <c r="C4" s="232"/>
      <c r="D4" s="234"/>
      <c r="E4" s="214"/>
      <c r="F4" s="216"/>
      <c r="G4" s="160" t="s">
        <v>80</v>
      </c>
      <c r="H4" s="161" t="s">
        <v>81</v>
      </c>
    </row>
    <row r="5" spans="1:8" ht="12.75">
      <c r="A5" s="217"/>
      <c r="B5" s="218"/>
      <c r="C5" s="218"/>
      <c r="D5" s="218"/>
      <c r="E5" s="218"/>
      <c r="F5" s="218"/>
      <c r="G5" s="218"/>
      <c r="H5" s="219"/>
    </row>
    <row r="6" spans="1:8" ht="36.75" customHeight="1">
      <c r="A6" s="162">
        <v>1</v>
      </c>
      <c r="B6" s="163" t="s">
        <v>214</v>
      </c>
      <c r="C6" s="220" t="s">
        <v>73</v>
      </c>
      <c r="D6" s="221"/>
      <c r="E6" s="162" t="s">
        <v>67</v>
      </c>
      <c r="F6" s="164"/>
      <c r="G6" s="165"/>
      <c r="H6" s="166">
        <f>SUM(H7:H13)</f>
        <v>1201.3844000000001</v>
      </c>
    </row>
    <row r="7" spans="1:8" ht="28.5" customHeight="1">
      <c r="A7" s="167" t="s">
        <v>41</v>
      </c>
      <c r="B7" s="168" t="s">
        <v>149</v>
      </c>
      <c r="C7" s="169" t="s">
        <v>80</v>
      </c>
      <c r="D7" s="170">
        <v>90082</v>
      </c>
      <c r="E7" s="171" t="s">
        <v>39</v>
      </c>
      <c r="F7" s="172">
        <v>4.2</v>
      </c>
      <c r="G7" s="173">
        <v>10.51</v>
      </c>
      <c r="H7" s="173">
        <f>G7*F7</f>
        <v>44.142</v>
      </c>
    </row>
    <row r="8" spans="1:8" ht="38.25">
      <c r="A8" s="167" t="s">
        <v>72</v>
      </c>
      <c r="B8" s="168" t="s">
        <v>156</v>
      </c>
      <c r="C8" s="169" t="s">
        <v>199</v>
      </c>
      <c r="D8" s="170">
        <v>2009618</v>
      </c>
      <c r="E8" s="171" t="s">
        <v>20</v>
      </c>
      <c r="F8" s="172">
        <v>3.78</v>
      </c>
      <c r="G8" s="174">
        <v>106.21</v>
      </c>
      <c r="H8" s="173">
        <f aca="true" t="shared" si="0" ref="H8:H13">G8*F8</f>
        <v>401.4738</v>
      </c>
    </row>
    <row r="9" spans="1:8" ht="33" customHeight="1">
      <c r="A9" s="167" t="s">
        <v>74</v>
      </c>
      <c r="B9" s="168" t="s">
        <v>215</v>
      </c>
      <c r="C9" s="169" t="s">
        <v>80</v>
      </c>
      <c r="D9" s="170">
        <v>94966</v>
      </c>
      <c r="E9" s="171" t="s">
        <v>39</v>
      </c>
      <c r="F9" s="172">
        <v>0.17</v>
      </c>
      <c r="G9" s="174">
        <v>534.28</v>
      </c>
      <c r="H9" s="173">
        <f t="shared" si="0"/>
        <v>90.8276</v>
      </c>
    </row>
    <row r="10" spans="1:8" ht="25.5">
      <c r="A10" s="167" t="s">
        <v>75</v>
      </c>
      <c r="B10" s="169" t="s">
        <v>150</v>
      </c>
      <c r="C10" s="169" t="s">
        <v>199</v>
      </c>
      <c r="D10" s="175">
        <v>3103302</v>
      </c>
      <c r="E10" s="176" t="s">
        <v>20</v>
      </c>
      <c r="F10" s="172">
        <v>1.26</v>
      </c>
      <c r="G10" s="174">
        <v>70.51</v>
      </c>
      <c r="H10" s="173">
        <f t="shared" si="0"/>
        <v>88.8426</v>
      </c>
    </row>
    <row r="11" spans="1:8" ht="24" customHeight="1">
      <c r="A11" s="167" t="s">
        <v>151</v>
      </c>
      <c r="B11" s="177" t="s">
        <v>216</v>
      </c>
      <c r="C11" s="178" t="s">
        <v>199</v>
      </c>
      <c r="D11" s="170" t="s">
        <v>217</v>
      </c>
      <c r="E11" s="171" t="s">
        <v>67</v>
      </c>
      <c r="F11" s="172">
        <v>1</v>
      </c>
      <c r="G11" s="174">
        <v>509.2883</v>
      </c>
      <c r="H11" s="173">
        <f t="shared" si="0"/>
        <v>509.2883</v>
      </c>
    </row>
    <row r="12" spans="1:8" ht="25.5">
      <c r="A12" s="167" t="s">
        <v>152</v>
      </c>
      <c r="B12" s="177" t="s">
        <v>153</v>
      </c>
      <c r="C12" s="178" t="s">
        <v>199</v>
      </c>
      <c r="D12" s="170" t="s">
        <v>218</v>
      </c>
      <c r="E12" s="171" t="s">
        <v>154</v>
      </c>
      <c r="F12" s="172">
        <v>3.43</v>
      </c>
      <c r="G12" s="174">
        <v>12.67</v>
      </c>
      <c r="H12" s="173">
        <f t="shared" si="0"/>
        <v>43.4581</v>
      </c>
    </row>
    <row r="13" spans="1:8" ht="12.75">
      <c r="A13" s="167" t="s">
        <v>155</v>
      </c>
      <c r="B13" s="177" t="s">
        <v>219</v>
      </c>
      <c r="C13" s="178" t="s">
        <v>80</v>
      </c>
      <c r="D13" s="170">
        <v>93364</v>
      </c>
      <c r="E13" s="171" t="s">
        <v>39</v>
      </c>
      <c r="F13" s="172">
        <v>2.1</v>
      </c>
      <c r="G13" s="174">
        <v>11.12</v>
      </c>
      <c r="H13" s="173">
        <f t="shared" si="0"/>
        <v>23.352</v>
      </c>
    </row>
    <row r="14" spans="1:8" ht="12.75">
      <c r="A14" s="179"/>
      <c r="B14" s="150"/>
      <c r="C14" s="179"/>
      <c r="E14" s="150"/>
      <c r="F14" s="150"/>
      <c r="G14" s="181"/>
      <c r="H14" s="181"/>
    </row>
    <row r="16" spans="1:8" ht="25.5">
      <c r="A16" s="162">
        <v>2</v>
      </c>
      <c r="B16" s="163" t="s">
        <v>220</v>
      </c>
      <c r="C16" s="222" t="s">
        <v>212</v>
      </c>
      <c r="D16" s="223"/>
      <c r="E16" s="162" t="s">
        <v>221</v>
      </c>
      <c r="F16" s="164"/>
      <c r="G16" s="165"/>
      <c r="H16" s="166">
        <f>SUM(H17:H24)</f>
        <v>23.829775174825176</v>
      </c>
    </row>
    <row r="17" spans="1:8" ht="12.75">
      <c r="A17" s="167" t="s">
        <v>42</v>
      </c>
      <c r="B17" s="168" t="s">
        <v>222</v>
      </c>
      <c r="C17" s="169" t="s">
        <v>80</v>
      </c>
      <c r="D17" s="170">
        <v>370</v>
      </c>
      <c r="E17" s="171" t="s">
        <v>223</v>
      </c>
      <c r="F17" s="172">
        <v>0.004956293706293706</v>
      </c>
      <c r="G17" s="173">
        <v>125</v>
      </c>
      <c r="H17" s="173">
        <f>G17*F17</f>
        <v>0.6195367132867133</v>
      </c>
    </row>
    <row r="18" spans="1:8" ht="12.75">
      <c r="A18" s="167" t="s">
        <v>43</v>
      </c>
      <c r="B18" s="168" t="s">
        <v>224</v>
      </c>
      <c r="C18" s="169" t="s">
        <v>80</v>
      </c>
      <c r="D18" s="170">
        <v>34492</v>
      </c>
      <c r="E18" s="171" t="s">
        <v>223</v>
      </c>
      <c r="F18" s="172">
        <v>0.02124125874125874</v>
      </c>
      <c r="G18" s="173">
        <v>490</v>
      </c>
      <c r="H18" s="173">
        <f aca="true" t="shared" si="1" ref="H18:H24">G18*F18</f>
        <v>10.408216783216783</v>
      </c>
    </row>
    <row r="19" spans="1:8" ht="12.75">
      <c r="A19" s="167" t="s">
        <v>44</v>
      </c>
      <c r="B19" s="182" t="s">
        <v>225</v>
      </c>
      <c r="C19" s="169" t="s">
        <v>80</v>
      </c>
      <c r="D19" s="183">
        <v>88243</v>
      </c>
      <c r="E19" s="171" t="s">
        <v>226</v>
      </c>
      <c r="F19" s="172">
        <v>0.06159965034965034</v>
      </c>
      <c r="G19" s="173">
        <v>20.33</v>
      </c>
      <c r="H19" s="173">
        <f t="shared" si="1"/>
        <v>1.2523208916083914</v>
      </c>
    </row>
    <row r="20" spans="1:8" ht="12.75">
      <c r="A20" s="167" t="s">
        <v>45</v>
      </c>
      <c r="B20" s="184" t="s">
        <v>227</v>
      </c>
      <c r="C20" s="169" t="s">
        <v>80</v>
      </c>
      <c r="D20" s="170">
        <v>88309</v>
      </c>
      <c r="E20" s="171" t="s">
        <v>226</v>
      </c>
      <c r="F20" s="172">
        <v>0.15647727272727271</v>
      </c>
      <c r="G20" s="173">
        <v>27.47</v>
      </c>
      <c r="H20" s="173">
        <f t="shared" si="1"/>
        <v>4.298430681818181</v>
      </c>
    </row>
    <row r="21" spans="1:8" ht="12.75">
      <c r="A21" s="167" t="s">
        <v>144</v>
      </c>
      <c r="B21" s="184" t="s">
        <v>228</v>
      </c>
      <c r="C21" s="169" t="s">
        <v>80</v>
      </c>
      <c r="D21" s="170">
        <v>88316</v>
      </c>
      <c r="E21" s="171" t="s">
        <v>226</v>
      </c>
      <c r="F21" s="172">
        <v>0.31295454545454543</v>
      </c>
      <c r="G21" s="173">
        <v>19</v>
      </c>
      <c r="H21" s="173">
        <f t="shared" si="1"/>
        <v>5.946136363636363</v>
      </c>
    </row>
    <row r="22" spans="1:8" ht="12.75">
      <c r="A22" s="167" t="s">
        <v>146</v>
      </c>
      <c r="B22" s="184" t="s">
        <v>229</v>
      </c>
      <c r="C22" s="169" t="s">
        <v>80</v>
      </c>
      <c r="D22" s="170">
        <v>88631</v>
      </c>
      <c r="E22" s="171" t="s">
        <v>223</v>
      </c>
      <c r="F22" s="172">
        <v>0.001416083916083916</v>
      </c>
      <c r="G22" s="173">
        <v>612.89</v>
      </c>
      <c r="H22" s="173">
        <f t="shared" si="1"/>
        <v>0.8679036713286713</v>
      </c>
    </row>
    <row r="23" spans="1:8" ht="12.75">
      <c r="A23" s="167" t="s">
        <v>200</v>
      </c>
      <c r="B23" s="184" t="s">
        <v>230</v>
      </c>
      <c r="C23" s="169" t="s">
        <v>80</v>
      </c>
      <c r="D23" s="170">
        <v>92960</v>
      </c>
      <c r="E23" s="171" t="s">
        <v>231</v>
      </c>
      <c r="F23" s="172">
        <v>0.009912587412587413</v>
      </c>
      <c r="G23" s="173">
        <v>18.96</v>
      </c>
      <c r="H23" s="173">
        <f t="shared" si="1"/>
        <v>0.18794265734265736</v>
      </c>
    </row>
    <row r="24" spans="1:8" ht="12.75">
      <c r="A24" s="167" t="s">
        <v>232</v>
      </c>
      <c r="B24" s="184" t="s">
        <v>230</v>
      </c>
      <c r="C24" s="169" t="s">
        <v>80</v>
      </c>
      <c r="D24" s="170">
        <v>92961</v>
      </c>
      <c r="E24" s="171" t="s">
        <v>233</v>
      </c>
      <c r="F24" s="172">
        <v>0.050979020979020975</v>
      </c>
      <c r="G24" s="173">
        <v>4.89</v>
      </c>
      <c r="H24" s="173">
        <f t="shared" si="1"/>
        <v>0.24928741258741255</v>
      </c>
    </row>
    <row r="26" spans="1:8" ht="12.75">
      <c r="A26" s="185">
        <v>3</v>
      </c>
      <c r="B26" s="186" t="s">
        <v>234</v>
      </c>
      <c r="C26" s="224" t="s">
        <v>235</v>
      </c>
      <c r="D26" s="224"/>
      <c r="E26" s="185" t="s">
        <v>221</v>
      </c>
      <c r="F26" s="185"/>
      <c r="G26" s="187"/>
      <c r="H26" s="187">
        <v>79.17101199999999</v>
      </c>
    </row>
    <row r="27" spans="1:8" ht="12.75">
      <c r="A27" s="188" t="s">
        <v>46</v>
      </c>
      <c r="B27" s="189" t="s">
        <v>236</v>
      </c>
      <c r="C27" s="178" t="s">
        <v>80</v>
      </c>
      <c r="D27" s="175">
        <v>4021</v>
      </c>
      <c r="E27" s="176" t="s">
        <v>20</v>
      </c>
      <c r="F27" s="176">
        <v>2.9</v>
      </c>
      <c r="G27" s="174">
        <v>10.56</v>
      </c>
      <c r="H27" s="174">
        <v>25.171999999999997</v>
      </c>
    </row>
    <row r="28" spans="1:8" ht="12.75">
      <c r="A28" s="188" t="s">
        <v>47</v>
      </c>
      <c r="B28" s="189" t="s">
        <v>237</v>
      </c>
      <c r="C28" s="178" t="s">
        <v>80</v>
      </c>
      <c r="D28" s="175">
        <v>4718</v>
      </c>
      <c r="E28" s="176" t="s">
        <v>238</v>
      </c>
      <c r="F28" s="176">
        <v>0.36860000000000004</v>
      </c>
      <c r="G28" s="174">
        <v>105</v>
      </c>
      <c r="H28" s="174">
        <v>36.86000000000001</v>
      </c>
    </row>
    <row r="29" spans="1:8" ht="63.75">
      <c r="A29" s="188" t="s">
        <v>48</v>
      </c>
      <c r="B29" s="189" t="s">
        <v>239</v>
      </c>
      <c r="C29" s="178" t="s">
        <v>80</v>
      </c>
      <c r="D29" s="175">
        <v>38052</v>
      </c>
      <c r="E29" s="176" t="s">
        <v>15</v>
      </c>
      <c r="F29" s="176">
        <v>1.003</v>
      </c>
      <c r="G29" s="174">
        <v>11.93</v>
      </c>
      <c r="H29" s="174">
        <v>11.404109999999998</v>
      </c>
    </row>
    <row r="30" spans="1:8" ht="12.75">
      <c r="A30" s="188" t="s">
        <v>49</v>
      </c>
      <c r="B30" s="189" t="s">
        <v>227</v>
      </c>
      <c r="C30" s="178" t="s">
        <v>80</v>
      </c>
      <c r="D30" s="175">
        <v>88309</v>
      </c>
      <c r="E30" s="176" t="s">
        <v>226</v>
      </c>
      <c r="F30" s="176">
        <v>0.0702</v>
      </c>
      <c r="G30" s="174">
        <v>27.47</v>
      </c>
      <c r="H30" s="174">
        <v>1.857492</v>
      </c>
    </row>
    <row r="31" spans="1:8" ht="12.75">
      <c r="A31" s="188" t="s">
        <v>66</v>
      </c>
      <c r="B31" s="189" t="s">
        <v>228</v>
      </c>
      <c r="C31" s="178" t="s">
        <v>80</v>
      </c>
      <c r="D31" s="175">
        <v>88316</v>
      </c>
      <c r="E31" s="176" t="s">
        <v>226</v>
      </c>
      <c r="F31" s="176">
        <v>0.2105</v>
      </c>
      <c r="G31" s="174">
        <v>19</v>
      </c>
      <c r="H31" s="174">
        <v>3.8774100000000002</v>
      </c>
    </row>
    <row r="33" spans="1:8" s="190" customFormat="1" ht="25.5">
      <c r="A33" s="185">
        <v>4</v>
      </c>
      <c r="B33" s="186" t="s">
        <v>163</v>
      </c>
      <c r="C33" s="225" t="s">
        <v>240</v>
      </c>
      <c r="D33" s="225"/>
      <c r="E33" s="185" t="s">
        <v>241</v>
      </c>
      <c r="F33" s="185"/>
      <c r="G33" s="187"/>
      <c r="H33" s="187">
        <f>SUM(H34:H42)</f>
        <v>2928.8222</v>
      </c>
    </row>
    <row r="34" spans="1:11" ht="89.25">
      <c r="A34" s="188" t="s">
        <v>50</v>
      </c>
      <c r="B34" s="177" t="s">
        <v>247</v>
      </c>
      <c r="C34" s="178" t="s">
        <v>80</v>
      </c>
      <c r="D34" s="175">
        <v>90082</v>
      </c>
      <c r="E34" s="176" t="s">
        <v>223</v>
      </c>
      <c r="F34" s="176">
        <v>15.299999999999999</v>
      </c>
      <c r="G34" s="174">
        <v>10.51</v>
      </c>
      <c r="H34" s="173">
        <f>G34*F34</f>
        <v>160.803</v>
      </c>
      <c r="J34" s="150" t="s">
        <v>162</v>
      </c>
      <c r="K34" s="150">
        <v>15.299999999999999</v>
      </c>
    </row>
    <row r="35" spans="1:10" ht="25.5">
      <c r="A35" s="188" t="s">
        <v>206</v>
      </c>
      <c r="B35" s="177" t="s">
        <v>248</v>
      </c>
      <c r="C35" s="178" t="s">
        <v>199</v>
      </c>
      <c r="D35" s="175">
        <v>2009618</v>
      </c>
      <c r="E35" s="176" t="s">
        <v>20</v>
      </c>
      <c r="F35" s="176">
        <v>7.62</v>
      </c>
      <c r="G35" s="174">
        <v>106.21</v>
      </c>
      <c r="H35" s="173">
        <f aca="true" t="shared" si="2" ref="H35:H42">G35*F35</f>
        <v>809.3202</v>
      </c>
      <c r="J35" s="150" t="s">
        <v>159</v>
      </c>
    </row>
    <row r="36" spans="1:10" ht="25.5">
      <c r="A36" s="188" t="s">
        <v>207</v>
      </c>
      <c r="B36" s="177" t="s">
        <v>258</v>
      </c>
      <c r="C36" s="178" t="s">
        <v>199</v>
      </c>
      <c r="D36" s="175" t="s">
        <v>257</v>
      </c>
      <c r="E36" s="176" t="s">
        <v>39</v>
      </c>
      <c r="F36" s="176">
        <v>0.34</v>
      </c>
      <c r="G36" s="174">
        <v>430.43</v>
      </c>
      <c r="H36" s="173">
        <f t="shared" si="2"/>
        <v>146.3462</v>
      </c>
      <c r="J36" s="150" t="s">
        <v>158</v>
      </c>
    </row>
    <row r="37" spans="1:8" ht="25.5">
      <c r="A37" s="188" t="s">
        <v>51</v>
      </c>
      <c r="B37" s="177" t="s">
        <v>249</v>
      </c>
      <c r="C37" s="178" t="s">
        <v>199</v>
      </c>
      <c r="D37" s="175" t="s">
        <v>246</v>
      </c>
      <c r="E37" s="176" t="s">
        <v>39</v>
      </c>
      <c r="F37" s="176">
        <v>0.16</v>
      </c>
      <c r="G37" s="174">
        <v>448.05</v>
      </c>
      <c r="H37" s="173">
        <f t="shared" si="2"/>
        <v>71.688</v>
      </c>
    </row>
    <row r="38" spans="1:8" ht="25.5">
      <c r="A38" s="188" t="s">
        <v>52</v>
      </c>
      <c r="B38" s="177" t="s">
        <v>250</v>
      </c>
      <c r="C38" s="178" t="s">
        <v>80</v>
      </c>
      <c r="D38" s="175" t="s">
        <v>245</v>
      </c>
      <c r="E38" s="176" t="s">
        <v>255</v>
      </c>
      <c r="F38" s="176">
        <v>38.4</v>
      </c>
      <c r="G38" s="174">
        <v>31.11</v>
      </c>
      <c r="H38" s="173">
        <f t="shared" si="2"/>
        <v>1194.624</v>
      </c>
    </row>
    <row r="39" spans="1:8" ht="38.25">
      <c r="A39" s="188" t="s">
        <v>53</v>
      </c>
      <c r="B39" s="177" t="s">
        <v>251</v>
      </c>
      <c r="C39" s="178" t="s">
        <v>80</v>
      </c>
      <c r="D39" s="175" t="s">
        <v>244</v>
      </c>
      <c r="E39" s="176" t="s">
        <v>255</v>
      </c>
      <c r="F39" s="176">
        <v>4.8</v>
      </c>
      <c r="G39" s="174">
        <v>68.35</v>
      </c>
      <c r="H39" s="173">
        <f t="shared" si="2"/>
        <v>328.08</v>
      </c>
    </row>
    <row r="40" spans="1:8" ht="25.5">
      <c r="A40" s="188" t="s">
        <v>57</v>
      </c>
      <c r="B40" s="177" t="s">
        <v>252</v>
      </c>
      <c r="C40" s="178" t="s">
        <v>199</v>
      </c>
      <c r="D40" s="175" t="s">
        <v>218</v>
      </c>
      <c r="E40" s="176" t="s">
        <v>154</v>
      </c>
      <c r="F40" s="176">
        <v>5.72</v>
      </c>
      <c r="G40" s="174">
        <v>12.67</v>
      </c>
      <c r="H40" s="173">
        <f t="shared" si="2"/>
        <v>72.4724</v>
      </c>
    </row>
    <row r="41" spans="1:8" ht="38.25">
      <c r="A41" s="188" t="s">
        <v>58</v>
      </c>
      <c r="B41" s="177" t="s">
        <v>253</v>
      </c>
      <c r="C41" s="178" t="s">
        <v>199</v>
      </c>
      <c r="D41" s="175" t="s">
        <v>243</v>
      </c>
      <c r="E41" s="176" t="s">
        <v>20</v>
      </c>
      <c r="F41" s="176">
        <v>1.84</v>
      </c>
      <c r="G41" s="174">
        <v>70.51</v>
      </c>
      <c r="H41" s="173">
        <f t="shared" si="2"/>
        <v>129.7384</v>
      </c>
    </row>
    <row r="42" spans="1:8" ht="25.5">
      <c r="A42" s="188" t="s">
        <v>59</v>
      </c>
      <c r="B42" s="177" t="s">
        <v>254</v>
      </c>
      <c r="C42" s="178" t="s">
        <v>80</v>
      </c>
      <c r="D42" s="175" t="s">
        <v>242</v>
      </c>
      <c r="E42" s="176" t="s">
        <v>256</v>
      </c>
      <c r="F42" s="176">
        <v>0.15</v>
      </c>
      <c r="G42" s="174">
        <v>105</v>
      </c>
      <c r="H42" s="173">
        <f t="shared" si="2"/>
        <v>15.75</v>
      </c>
    </row>
  </sheetData>
  <sheetProtection/>
  <mergeCells count="12">
    <mergeCell ref="C33:D33"/>
    <mergeCell ref="A1:H1"/>
    <mergeCell ref="A3:A4"/>
    <mergeCell ref="B3:B4"/>
    <mergeCell ref="C3:C4"/>
    <mergeCell ref="D3:D4"/>
    <mergeCell ref="E3:E4"/>
    <mergeCell ref="F3:F4"/>
    <mergeCell ref="A5:H5"/>
    <mergeCell ref="C6:D6"/>
    <mergeCell ref="C16:D16"/>
    <mergeCell ref="C26:D26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58"/>
  <sheetViews>
    <sheetView showGridLines="0" view="pageLayout" zoomScaleNormal="85" zoomScaleSheetLayoutView="85" workbookViewId="0" topLeftCell="A65536">
      <selection activeCell="B2" sqref="B2:N52"/>
    </sheetView>
  </sheetViews>
  <sheetFormatPr defaultColWidth="0" defaultRowHeight="12.75" customHeight="1" zeroHeight="1"/>
  <cols>
    <col min="1" max="1" width="2.57421875" style="83" customWidth="1"/>
    <col min="2" max="2" width="4.7109375" style="83" bestFit="1" customWidth="1"/>
    <col min="3" max="3" width="8.421875" style="83" customWidth="1"/>
    <col min="4" max="4" width="5.140625" style="83" bestFit="1" customWidth="1"/>
    <col min="5" max="5" width="11.00390625" style="83" customWidth="1"/>
    <col min="6" max="6" width="7.8515625" style="83" customWidth="1"/>
    <col min="7" max="7" width="23.28125" style="83" customWidth="1"/>
    <col min="8" max="8" width="23.421875" style="83" customWidth="1"/>
    <col min="9" max="13" width="9.140625" style="83" customWidth="1"/>
    <col min="14" max="14" width="8.421875" style="83" customWidth="1"/>
    <col min="15" max="15" width="1.57421875" style="83" customWidth="1"/>
    <col min="16" max="251" width="39.8515625" style="83" hidden="1" customWidth="1"/>
    <col min="252" max="252" width="9.8515625" style="83" hidden="1" customWidth="1"/>
    <col min="253" max="255" width="39.8515625" style="83" hidden="1" customWidth="1"/>
    <col min="256" max="16384" width="3.421875" style="83" hidden="1" customWidth="1"/>
  </cols>
  <sheetData>
    <row r="1" ht="14.25" customHeight="1"/>
    <row r="2" spans="2:18" ht="15.75" customHeight="1">
      <c r="B2" s="235" t="s">
        <v>83</v>
      </c>
      <c r="C2" s="236"/>
      <c r="D2" s="236"/>
      <c r="E2" s="236"/>
      <c r="F2" s="236"/>
      <c r="G2" s="237"/>
      <c r="H2" s="238" t="s">
        <v>84</v>
      </c>
      <c r="I2" s="238"/>
      <c r="J2" s="238"/>
      <c r="K2" s="238"/>
      <c r="L2" s="238"/>
      <c r="M2" s="238"/>
      <c r="N2" s="239"/>
      <c r="O2" s="84"/>
      <c r="P2" s="84"/>
      <c r="Q2" s="84"/>
      <c r="R2" s="84"/>
    </row>
    <row r="3" spans="2:18" ht="16.5" customHeight="1" thickBot="1">
      <c r="B3" s="240" t="s">
        <v>85</v>
      </c>
      <c r="C3" s="241"/>
      <c r="D3" s="241"/>
      <c r="E3" s="241"/>
      <c r="F3" s="241"/>
      <c r="G3" s="242"/>
      <c r="H3" s="243" t="s">
        <v>86</v>
      </c>
      <c r="I3" s="243"/>
      <c r="J3" s="243"/>
      <c r="K3" s="243"/>
      <c r="L3" s="243"/>
      <c r="M3" s="243"/>
      <c r="N3" s="244"/>
      <c r="O3" s="84"/>
      <c r="P3" s="84"/>
      <c r="Q3" s="84"/>
      <c r="R3" s="84"/>
    </row>
    <row r="4" ht="13.5" thickBot="1"/>
    <row r="5" spans="2:14" ht="12.75" customHeight="1">
      <c r="B5" s="245" t="s">
        <v>87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7"/>
    </row>
    <row r="6" spans="2:14" ht="13.5" thickBot="1"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/>
    </row>
    <row r="7" spans="2:17" ht="12.75" customHeight="1">
      <c r="B7" s="251" t="s">
        <v>88</v>
      </c>
      <c r="C7" s="252"/>
      <c r="D7" s="252"/>
      <c r="E7" s="253"/>
      <c r="F7" s="260" t="s">
        <v>89</v>
      </c>
      <c r="G7" s="261"/>
      <c r="H7" s="262"/>
      <c r="I7" s="251" t="s">
        <v>90</v>
      </c>
      <c r="J7" s="252"/>
      <c r="K7" s="252"/>
      <c r="L7" s="252"/>
      <c r="M7" s="252"/>
      <c r="N7" s="253"/>
      <c r="Q7" s="83" t="s">
        <v>91</v>
      </c>
    </row>
    <row r="8" spans="2:17" ht="12.75">
      <c r="B8" s="254"/>
      <c r="C8" s="255"/>
      <c r="D8" s="255"/>
      <c r="E8" s="256"/>
      <c r="F8" s="263"/>
      <c r="G8" s="264"/>
      <c r="H8" s="265"/>
      <c r="I8" s="269" t="str">
        <f>IF(F7=S13,S20,IF(F7=S14,S21,IF(F7=S15,S22,IF(F7=S16,S23,IF(F7=S17,S24,IF(F7=S18,S25,""))))))</f>
        <v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v>
      </c>
      <c r="J8" s="270"/>
      <c r="K8" s="270"/>
      <c r="L8" s="270"/>
      <c r="M8" s="270"/>
      <c r="N8" s="271"/>
      <c r="Q8" s="83" t="s">
        <v>92</v>
      </c>
    </row>
    <row r="9" spans="2:19" ht="12.75" customHeight="1" thickBot="1">
      <c r="B9" s="257"/>
      <c r="C9" s="258"/>
      <c r="D9" s="258"/>
      <c r="E9" s="259"/>
      <c r="F9" s="266"/>
      <c r="G9" s="267"/>
      <c r="H9" s="268"/>
      <c r="I9" s="269"/>
      <c r="J9" s="270"/>
      <c r="K9" s="270"/>
      <c r="L9" s="270"/>
      <c r="M9" s="270"/>
      <c r="N9" s="271"/>
      <c r="Q9" s="86" t="s">
        <v>93</v>
      </c>
      <c r="S9" s="83" t="s">
        <v>94</v>
      </c>
    </row>
    <row r="10" spans="2:19" ht="12.75">
      <c r="B10" s="275" t="s">
        <v>95</v>
      </c>
      <c r="C10" s="276"/>
      <c r="D10" s="276"/>
      <c r="E10" s="277"/>
      <c r="F10" s="278" t="s">
        <v>92</v>
      </c>
      <c r="G10" s="279"/>
      <c r="H10" s="280"/>
      <c r="I10" s="269"/>
      <c r="J10" s="270"/>
      <c r="K10" s="270"/>
      <c r="L10" s="270"/>
      <c r="M10" s="270"/>
      <c r="N10" s="271"/>
      <c r="Q10" s="86"/>
      <c r="S10" s="83" t="s">
        <v>96</v>
      </c>
    </row>
    <row r="11" spans="2:19" ht="12.75">
      <c r="B11" s="275"/>
      <c r="C11" s="276"/>
      <c r="D11" s="276"/>
      <c r="E11" s="277"/>
      <c r="F11" s="278"/>
      <c r="G11" s="279"/>
      <c r="H11" s="280"/>
      <c r="I11" s="269"/>
      <c r="J11" s="270"/>
      <c r="K11" s="270"/>
      <c r="L11" s="270"/>
      <c r="M11" s="270"/>
      <c r="N11" s="271"/>
      <c r="Q11" s="86"/>
      <c r="S11" s="83" t="s">
        <v>96</v>
      </c>
    </row>
    <row r="12" spans="2:19" ht="12.75" customHeight="1">
      <c r="B12" s="275"/>
      <c r="C12" s="276"/>
      <c r="D12" s="276"/>
      <c r="E12" s="277"/>
      <c r="F12" s="278"/>
      <c r="G12" s="279"/>
      <c r="H12" s="280"/>
      <c r="I12" s="269"/>
      <c r="J12" s="270"/>
      <c r="K12" s="270"/>
      <c r="L12" s="270"/>
      <c r="M12" s="270"/>
      <c r="N12" s="271"/>
      <c r="Q12" s="86"/>
      <c r="S12" s="83" t="s">
        <v>94</v>
      </c>
    </row>
    <row r="13" spans="2:19" ht="13.5" thickBot="1">
      <c r="B13" s="248"/>
      <c r="C13" s="249"/>
      <c r="D13" s="249"/>
      <c r="E13" s="250"/>
      <c r="F13" s="281"/>
      <c r="G13" s="282"/>
      <c r="H13" s="283"/>
      <c r="I13" s="269"/>
      <c r="J13" s="270"/>
      <c r="K13" s="270"/>
      <c r="L13" s="270"/>
      <c r="M13" s="270"/>
      <c r="N13" s="271"/>
      <c r="Q13" s="86"/>
      <c r="S13" s="83" t="s">
        <v>96</v>
      </c>
    </row>
    <row r="14" spans="2:19" ht="12.75" customHeight="1">
      <c r="B14" s="245" t="str">
        <f>IF(F14="OK","BDI ABAIXO PODE SER ACEITO","")</f>
        <v>BDI ABAIXO PODE SER ACEITO</v>
      </c>
      <c r="C14" s="246"/>
      <c r="D14" s="246"/>
      <c r="E14" s="247"/>
      <c r="F14" s="284" t="str">
        <f>IF(AD29=FALSE,"",IF(G30="FORA DO LIMITE","VERIFICAR ITENS",IF(G32="FORA DO LIMITE","VERIFICAR ITENS",IF(G34="FORA DO LIMITE","VERIFICAR ITENS",IF(G36="FORA DO LIMITE","VERIFICAR ITENS",IF(G38="FORA DO LIMITE","VERIFICAR ITENS",IF(Z28&lt;W28,"FORA DA FAIXA",IF(Z28&gt;X28,"FORA DA FAIXA","OK"))))))))</f>
        <v>OK</v>
      </c>
      <c r="G14" s="285"/>
      <c r="H14" s="286"/>
      <c r="I14" s="269"/>
      <c r="J14" s="270"/>
      <c r="K14" s="270"/>
      <c r="L14" s="270"/>
      <c r="M14" s="270"/>
      <c r="N14" s="271"/>
      <c r="Q14" s="86"/>
      <c r="S14" s="83" t="s">
        <v>89</v>
      </c>
    </row>
    <row r="15" spans="2:19" ht="13.5" customHeight="1">
      <c r="B15" s="275"/>
      <c r="C15" s="276"/>
      <c r="D15" s="276"/>
      <c r="E15" s="277"/>
      <c r="F15" s="284"/>
      <c r="G15" s="285"/>
      <c r="H15" s="286"/>
      <c r="I15" s="269"/>
      <c r="J15" s="270"/>
      <c r="K15" s="270"/>
      <c r="L15" s="270"/>
      <c r="M15" s="270"/>
      <c r="N15" s="271"/>
      <c r="Q15" s="86"/>
      <c r="S15" s="83" t="s">
        <v>97</v>
      </c>
    </row>
    <row r="16" spans="2:19" ht="12.75">
      <c r="B16" s="275"/>
      <c r="C16" s="276"/>
      <c r="D16" s="276"/>
      <c r="E16" s="277"/>
      <c r="F16" s="284"/>
      <c r="G16" s="285"/>
      <c r="H16" s="286"/>
      <c r="I16" s="269"/>
      <c r="J16" s="270"/>
      <c r="K16" s="270"/>
      <c r="L16" s="270"/>
      <c r="M16" s="270"/>
      <c r="N16" s="271"/>
      <c r="Q16" s="86"/>
      <c r="S16" s="83" t="s">
        <v>98</v>
      </c>
    </row>
    <row r="17" spans="2:19" ht="12.75">
      <c r="B17" s="275"/>
      <c r="C17" s="276"/>
      <c r="D17" s="276"/>
      <c r="E17" s="277"/>
      <c r="F17" s="284"/>
      <c r="G17" s="285"/>
      <c r="H17" s="286"/>
      <c r="I17" s="269"/>
      <c r="J17" s="270"/>
      <c r="K17" s="270"/>
      <c r="L17" s="270"/>
      <c r="M17" s="270"/>
      <c r="N17" s="271"/>
      <c r="Q17" s="86"/>
      <c r="S17" s="83" t="s">
        <v>99</v>
      </c>
    </row>
    <row r="18" spans="2:24" ht="12.75">
      <c r="B18" s="275"/>
      <c r="C18" s="276"/>
      <c r="D18" s="276"/>
      <c r="E18" s="277"/>
      <c r="F18" s="284"/>
      <c r="G18" s="285"/>
      <c r="H18" s="286"/>
      <c r="I18" s="269"/>
      <c r="J18" s="270"/>
      <c r="K18" s="270"/>
      <c r="L18" s="270"/>
      <c r="M18" s="270"/>
      <c r="N18" s="271"/>
      <c r="Q18" s="86"/>
      <c r="S18" s="83" t="s">
        <v>100</v>
      </c>
      <c r="X18" s="83" t="s">
        <v>90</v>
      </c>
    </row>
    <row r="19" spans="2:17" ht="13.5" thickBot="1">
      <c r="B19" s="248"/>
      <c r="C19" s="249"/>
      <c r="D19" s="249"/>
      <c r="E19" s="250"/>
      <c r="F19" s="284"/>
      <c r="G19" s="285"/>
      <c r="H19" s="286"/>
      <c r="I19" s="269"/>
      <c r="J19" s="270"/>
      <c r="K19" s="270"/>
      <c r="L19" s="270"/>
      <c r="M19" s="270"/>
      <c r="N19" s="271"/>
      <c r="Q19" s="86"/>
    </row>
    <row r="20" spans="2:19" ht="12.75" customHeight="1">
      <c r="B20" s="289">
        <f>IF(Z29=FALSE,IF(F7="Escolha o tipo de obra","Escolha o tipo de obra",IF(F10="ONERADO",Z28,IF(F10="DESONERADO",AB28,"Escolha o regime de contribuição"))),"PREENCHER TODOS OS COMPONENTES DO BDI")</f>
        <v>0.2564</v>
      </c>
      <c r="C20" s="290"/>
      <c r="D20" s="290"/>
      <c r="E20" s="291"/>
      <c r="F20" s="284"/>
      <c r="G20" s="285"/>
      <c r="H20" s="286"/>
      <c r="I20" s="269"/>
      <c r="J20" s="270"/>
      <c r="K20" s="270"/>
      <c r="L20" s="270"/>
      <c r="M20" s="270"/>
      <c r="N20" s="271"/>
      <c r="Q20" s="86"/>
      <c r="S20" s="83" t="s">
        <v>101</v>
      </c>
    </row>
    <row r="21" spans="2:19" ht="12.75" customHeight="1">
      <c r="B21" s="292"/>
      <c r="C21" s="293"/>
      <c r="D21" s="293"/>
      <c r="E21" s="294"/>
      <c r="F21" s="284"/>
      <c r="G21" s="285"/>
      <c r="H21" s="286"/>
      <c r="I21" s="269"/>
      <c r="J21" s="270"/>
      <c r="K21" s="270"/>
      <c r="L21" s="270"/>
      <c r="M21" s="270"/>
      <c r="N21" s="271"/>
      <c r="Q21" s="86"/>
      <c r="S21" s="83" t="s">
        <v>102</v>
      </c>
    </row>
    <row r="22" spans="2:19" ht="12.75" customHeight="1">
      <c r="B22" s="292"/>
      <c r="C22" s="293"/>
      <c r="D22" s="293"/>
      <c r="E22" s="294"/>
      <c r="F22" s="284"/>
      <c r="G22" s="285"/>
      <c r="H22" s="286"/>
      <c r="I22" s="269"/>
      <c r="J22" s="270"/>
      <c r="K22" s="270"/>
      <c r="L22" s="270"/>
      <c r="M22" s="270"/>
      <c r="N22" s="271"/>
      <c r="Q22" s="86"/>
      <c r="S22" s="83" t="s">
        <v>103</v>
      </c>
    </row>
    <row r="23" spans="2:19" ht="13.5" customHeight="1">
      <c r="B23" s="292"/>
      <c r="C23" s="293"/>
      <c r="D23" s="293"/>
      <c r="E23" s="294"/>
      <c r="F23" s="284"/>
      <c r="G23" s="285"/>
      <c r="H23" s="286"/>
      <c r="I23" s="269"/>
      <c r="J23" s="270"/>
      <c r="K23" s="270"/>
      <c r="L23" s="270"/>
      <c r="M23" s="270"/>
      <c r="N23" s="271"/>
      <c r="Q23" s="86"/>
      <c r="S23" s="83" t="s">
        <v>104</v>
      </c>
    </row>
    <row r="24" spans="2:19" ht="12.75" customHeight="1">
      <c r="B24" s="292"/>
      <c r="C24" s="293"/>
      <c r="D24" s="293"/>
      <c r="E24" s="294"/>
      <c r="F24" s="284"/>
      <c r="G24" s="285"/>
      <c r="H24" s="286"/>
      <c r="I24" s="269"/>
      <c r="J24" s="270"/>
      <c r="K24" s="270"/>
      <c r="L24" s="270"/>
      <c r="M24" s="270"/>
      <c r="N24" s="271"/>
      <c r="Q24" s="86"/>
      <c r="S24" s="83" t="s">
        <v>105</v>
      </c>
    </row>
    <row r="25" spans="2:19" ht="12.75" customHeight="1">
      <c r="B25" s="292"/>
      <c r="C25" s="293"/>
      <c r="D25" s="293"/>
      <c r="E25" s="294"/>
      <c r="F25" s="284"/>
      <c r="G25" s="285"/>
      <c r="H25" s="286"/>
      <c r="I25" s="269"/>
      <c r="J25" s="270"/>
      <c r="K25" s="270"/>
      <c r="L25" s="270"/>
      <c r="M25" s="270"/>
      <c r="N25" s="271"/>
      <c r="Q25" s="86"/>
      <c r="S25" s="83" t="s">
        <v>106</v>
      </c>
    </row>
    <row r="26" spans="2:17" ht="13.5" customHeight="1" thickBot="1">
      <c r="B26" s="292"/>
      <c r="C26" s="293"/>
      <c r="D26" s="293"/>
      <c r="E26" s="294"/>
      <c r="F26" s="285"/>
      <c r="G26" s="285"/>
      <c r="H26" s="286"/>
      <c r="I26" s="272"/>
      <c r="J26" s="273"/>
      <c r="K26" s="273"/>
      <c r="L26" s="273"/>
      <c r="M26" s="273"/>
      <c r="N26" s="274"/>
      <c r="Q26" s="86"/>
    </row>
    <row r="27" spans="2:28" ht="13.5" customHeight="1" thickBot="1">
      <c r="B27" s="292"/>
      <c r="C27" s="293"/>
      <c r="D27" s="293"/>
      <c r="E27" s="294"/>
      <c r="F27" s="285"/>
      <c r="G27" s="285"/>
      <c r="H27" s="286"/>
      <c r="I27" s="298" t="s">
        <v>107</v>
      </c>
      <c r="J27" s="298"/>
      <c r="K27" s="298"/>
      <c r="L27" s="298"/>
      <c r="M27" s="298"/>
      <c r="N27" s="299"/>
      <c r="Q27" s="86"/>
      <c r="S27" s="83" t="s">
        <v>108</v>
      </c>
      <c r="W27" s="88" t="s">
        <v>109</v>
      </c>
      <c r="X27" s="88" t="s">
        <v>110</v>
      </c>
      <c r="Z27" s="88" t="s">
        <v>111</v>
      </c>
      <c r="AB27" s="88" t="s">
        <v>112</v>
      </c>
    </row>
    <row r="28" spans="2:28" ht="13.5" customHeight="1" thickBot="1">
      <c r="B28" s="295"/>
      <c r="C28" s="296"/>
      <c r="D28" s="296"/>
      <c r="E28" s="297"/>
      <c r="F28" s="287"/>
      <c r="G28" s="287"/>
      <c r="H28" s="288"/>
      <c r="I28" s="300" t="s">
        <v>113</v>
      </c>
      <c r="J28" s="301"/>
      <c r="K28" s="301"/>
      <c r="L28" s="301"/>
      <c r="M28" s="301"/>
      <c r="N28" s="302"/>
      <c r="Q28" s="86"/>
      <c r="S28" s="83" t="s">
        <v>114</v>
      </c>
      <c r="W28" s="89">
        <f>IF($F$7=$S$13,T30,IF($F$7=$S$14,X30,IF($F$7=$S$15,AB30,IF($F$7=$S$16,T36,IF($F$7=$S$17,X36,IF($F$7=$S$18,AB36))))))</f>
        <v>0.196</v>
      </c>
      <c r="X28" s="89">
        <f>IF($F$7=$S$13,U30,IF($F$7=$S$14,Y30,IF($F$7=$S$15,AC30,IF($F$7=$S$16,U36,IF($F$7=$S$17,Y36,IF($F$7=$S$18,AC36))))))</f>
        <v>0.2423</v>
      </c>
      <c r="Y28" s="89">
        <f>IF(F10="DESONERADO",AB28,IF(F10="SEM DESONERAÇÃO",Z28,""))</f>
        <v>0.2564</v>
      </c>
      <c r="Z28" s="89">
        <f>TRUNC(ROUND(((1+F30+F32+F34)*(1+F36)*(1+F38))/(1-(F40+F41+F42))-1,4),4)</f>
        <v>0.1964</v>
      </c>
      <c r="AB28" s="89">
        <f>TRUNC(ROUND(((1+F30+F32+F34)*(1+F36)*(1+F38))/(1-(F40+F41+F42+F43))-1,4),4)</f>
        <v>0.2564</v>
      </c>
    </row>
    <row r="29" spans="2:30" ht="19.5" customHeight="1" thickBot="1">
      <c r="B29" s="303" t="s">
        <v>115</v>
      </c>
      <c r="C29" s="304"/>
      <c r="D29" s="304"/>
      <c r="E29" s="305"/>
      <c r="F29" s="90" t="s">
        <v>32</v>
      </c>
      <c r="G29" s="306" t="s">
        <v>116</v>
      </c>
      <c r="H29" s="307"/>
      <c r="I29" s="269"/>
      <c r="J29" s="270"/>
      <c r="K29" s="270"/>
      <c r="L29" s="270"/>
      <c r="M29" s="270"/>
      <c r="N29" s="271"/>
      <c r="Q29" s="86"/>
      <c r="S29" s="83" t="s">
        <v>117</v>
      </c>
      <c r="W29" s="83" t="s">
        <v>118</v>
      </c>
      <c r="Z29" s="83" t="b">
        <f>IF(F10="DESONERADO",OR(F30="",F32="",F34="",F36="",F38="",F40="",F41="",F42="",F43=""),OR(F30="",F32="",F34="",F36="",F38="",F40="",F41="",F42=""))</f>
        <v>0</v>
      </c>
      <c r="AA29" s="83" t="b">
        <f>IF(F10="SEM DESONERAÇÃO",AND(F30="",F32="",F34="",F36="",F38="",F40="",F41="",F42=""))</f>
        <v>0</v>
      </c>
      <c r="AC29" s="83" t="b">
        <f>IF(F10="SEM DESONERAÇÃO",AND(F30="",F32="",F34="",F36="",F38="",F40="",F41="",F42=""),IF(F10="DESONERADO",AND(F30="",F32="",F34="",F36="",F38="",F40="",F41="",F42="",F43=""),"NULO"))</f>
        <v>0</v>
      </c>
      <c r="AD29" s="83" t="b">
        <f>OR(B20=Z28,B20=AB28)</f>
        <v>1</v>
      </c>
    </row>
    <row r="30" spans="2:29" ht="19.5" customHeight="1">
      <c r="B30" s="251" t="s">
        <v>119</v>
      </c>
      <c r="C30" s="246"/>
      <c r="D30" s="246"/>
      <c r="E30" s="247"/>
      <c r="F30" s="308">
        <v>0.038</v>
      </c>
      <c r="G30" s="300" t="str">
        <f>IF(F7="Escolha o tipo de obra","",IF(F30="","",IF(F30&lt;C31,"FORA DO LIMITE",IF(F30&gt;E31,"FORA DO LIMITE","OK"))))</f>
        <v>OK</v>
      </c>
      <c r="H30" s="302"/>
      <c r="I30" s="269"/>
      <c r="J30" s="270"/>
      <c r="K30" s="270"/>
      <c r="L30" s="270"/>
      <c r="M30" s="270"/>
      <c r="N30" s="271"/>
      <c r="S30" s="83" t="s">
        <v>120</v>
      </c>
      <c r="T30" s="89">
        <v>0.2034</v>
      </c>
      <c r="U30" s="89">
        <v>0.25</v>
      </c>
      <c r="W30" s="83" t="s">
        <v>121</v>
      </c>
      <c r="X30" s="89">
        <v>0.196</v>
      </c>
      <c r="Y30" s="89">
        <v>0.2423</v>
      </c>
      <c r="AA30" s="83" t="s">
        <v>122</v>
      </c>
      <c r="AB30" s="89">
        <v>0.2076</v>
      </c>
      <c r="AC30" s="89">
        <v>0.2644</v>
      </c>
    </row>
    <row r="31" spans="2:35" ht="19.5" customHeight="1" thickBot="1">
      <c r="B31" s="91" t="s">
        <v>123</v>
      </c>
      <c r="C31" s="92">
        <f>IF($F$7=$S$13,S31,IF($F$7=$S$14,W31,IF($F$7=$S$15,AA31,IF($F$7=$S$16,S37,IF($F$7=$S$17,W37,IF($F$7=$S$18,AA37,""))))))</f>
        <v>0.038</v>
      </c>
      <c r="D31" s="93" t="s">
        <v>124</v>
      </c>
      <c r="E31" s="94">
        <f>IF($F$7=$S$13,T31,IF($F$7=$S$14,X31,IF($F$7=$S$15,AB31,IF($F$7=$S$16,T37,IF($F$7=$S$17,X37,IF($F$7=$S$18,AB37,""))))))</f>
        <v>0.0467</v>
      </c>
      <c r="F31" s="309"/>
      <c r="G31" s="272"/>
      <c r="H31" s="274"/>
      <c r="I31" s="269"/>
      <c r="J31" s="270"/>
      <c r="K31" s="270"/>
      <c r="L31" s="270"/>
      <c r="M31" s="270"/>
      <c r="N31" s="271"/>
      <c r="Q31" s="83" t="str">
        <f>IF(H3="","",H3)</f>
        <v>IPUMIRIM  - SC</v>
      </c>
      <c r="S31" s="89">
        <v>0.03</v>
      </c>
      <c r="T31" s="89">
        <v>0.055</v>
      </c>
      <c r="W31" s="89">
        <v>0.038</v>
      </c>
      <c r="X31" s="89">
        <v>0.0467</v>
      </c>
      <c r="AA31" s="89">
        <v>0.0343</v>
      </c>
      <c r="AB31" s="89">
        <v>0.0671</v>
      </c>
      <c r="AH31" s="89">
        <v>0.2034</v>
      </c>
      <c r="AI31" s="89">
        <v>0.25</v>
      </c>
    </row>
    <row r="32" spans="2:35" ht="19.5" customHeight="1">
      <c r="B32" s="251" t="s">
        <v>125</v>
      </c>
      <c r="C32" s="246"/>
      <c r="D32" s="246"/>
      <c r="E32" s="247"/>
      <c r="F32" s="308">
        <v>0.0033</v>
      </c>
      <c r="G32" s="300" t="str">
        <f>IF(F7="Escolha o tipo de obra","",IF(F32="","",IF(F32&lt;C33,"FORA DO LIMITE",IF(F32&gt;E33,"FORA DO LIMITE","OK"))))</f>
        <v>OK</v>
      </c>
      <c r="H32" s="302"/>
      <c r="I32" s="269"/>
      <c r="J32" s="270"/>
      <c r="K32" s="270"/>
      <c r="L32" s="270"/>
      <c r="M32" s="270"/>
      <c r="N32" s="271"/>
      <c r="Q32" s="95">
        <f ca="1">TODAY()</f>
        <v>45461</v>
      </c>
      <c r="S32" s="89">
        <v>0.008</v>
      </c>
      <c r="T32" s="89">
        <v>0.01</v>
      </c>
      <c r="W32" s="89">
        <v>0.0032</v>
      </c>
      <c r="X32" s="89">
        <v>0.0074</v>
      </c>
      <c r="AA32" s="89">
        <v>0.0028</v>
      </c>
      <c r="AB32" s="89">
        <v>0.0075</v>
      </c>
      <c r="AH32" s="89">
        <v>0.196</v>
      </c>
      <c r="AI32" s="89">
        <v>0.2423</v>
      </c>
    </row>
    <row r="33" spans="2:35" ht="19.5" customHeight="1" thickBot="1">
      <c r="B33" s="91" t="s">
        <v>123</v>
      </c>
      <c r="C33" s="92">
        <f>IF($F$7=$S$13,S32,IF($F$7=$S$14,W32,IF($F$7=$S$15,AA32,IF($F$7=$S$16,S38,IF($F$7=$S$17,W38,IF($F$7=$S$18,AA38,""))))))</f>
        <v>0.0032</v>
      </c>
      <c r="D33" s="93" t="s">
        <v>124</v>
      </c>
      <c r="E33" s="94">
        <f>IF($F$7=$S$13,T32,IF($F$7=$S$14,X32,IF($F$7=$S$15,AB32,IF($F$7=$S$16,T38,IF($F$7=$S$17,X38,IF($F$7=$S$18,AB38,""))))))</f>
        <v>0.0074</v>
      </c>
      <c r="F33" s="309"/>
      <c r="G33" s="272"/>
      <c r="H33" s="274"/>
      <c r="I33" s="272"/>
      <c r="J33" s="273"/>
      <c r="K33" s="273"/>
      <c r="L33" s="273"/>
      <c r="M33" s="273"/>
      <c r="N33" s="274"/>
      <c r="S33" s="89">
        <v>0.0097</v>
      </c>
      <c r="T33" s="89">
        <v>0.0127</v>
      </c>
      <c r="W33" s="89">
        <v>0.005</v>
      </c>
      <c r="X33" s="89">
        <v>0.0097</v>
      </c>
      <c r="AA33" s="89">
        <v>0.01</v>
      </c>
      <c r="AB33" s="89">
        <v>0.0174</v>
      </c>
      <c r="AH33" s="89">
        <v>0.2076</v>
      </c>
      <c r="AI33" s="89">
        <v>0.2644</v>
      </c>
    </row>
    <row r="34" spans="2:35" ht="19.5" customHeight="1">
      <c r="B34" s="251" t="s">
        <v>126</v>
      </c>
      <c r="C34" s="252"/>
      <c r="D34" s="252"/>
      <c r="E34" s="253"/>
      <c r="F34" s="308">
        <v>0.005</v>
      </c>
      <c r="G34" s="300" t="str">
        <f>IF(F7="Escolha o tipo de obra","",IF(F34="","",IF(F34&lt;C35,"FORA DO LIMITE",IF(F34&gt;E35,"FORA DO LIMITE","OK"))))</f>
        <v>OK</v>
      </c>
      <c r="H34" s="302"/>
      <c r="I34" s="300" t="s">
        <v>127</v>
      </c>
      <c r="J34" s="301"/>
      <c r="K34" s="301"/>
      <c r="L34" s="301"/>
      <c r="M34" s="301"/>
      <c r="N34" s="302"/>
      <c r="S34" s="89">
        <v>0.0059</v>
      </c>
      <c r="T34" s="89">
        <v>0.0139</v>
      </c>
      <c r="W34" s="89">
        <v>0.0102</v>
      </c>
      <c r="X34" s="89">
        <v>0.0121</v>
      </c>
      <c r="AA34" s="89">
        <v>0.0094</v>
      </c>
      <c r="AB34" s="89">
        <v>0.0117</v>
      </c>
      <c r="AH34" s="89">
        <v>0.24</v>
      </c>
      <c r="AI34" s="89">
        <v>0.2786</v>
      </c>
    </row>
    <row r="35" spans="2:35" ht="19.5" customHeight="1" thickBot="1">
      <c r="B35" s="91" t="s">
        <v>123</v>
      </c>
      <c r="C35" s="92">
        <f>IF($F$7=$S$13,S33,IF($F$7=$S$14,W33,IF($F$7=$S$15,AA33,IF($F$7=$S$16,S39,IF($F$7=$S$17,W39,IF($F$7=$S$18,AA39,""))))))</f>
        <v>0.005</v>
      </c>
      <c r="D35" s="93" t="s">
        <v>124</v>
      </c>
      <c r="E35" s="94">
        <f>IF($F$7=$S$13,T33,IF($F$7=$S$14,X33,IF($F$7=$S$15,AB33,IF($F$7=$S$16,T39,IF($F$7=$S$17,X39,IF($F$7=$S$18,AB39,""))))))</f>
        <v>0.0097</v>
      </c>
      <c r="F35" s="309"/>
      <c r="G35" s="272"/>
      <c r="H35" s="274"/>
      <c r="I35" s="269"/>
      <c r="J35" s="270"/>
      <c r="K35" s="270"/>
      <c r="L35" s="270"/>
      <c r="M35" s="270"/>
      <c r="N35" s="271"/>
      <c r="S35" s="89">
        <v>0.0616</v>
      </c>
      <c r="T35" s="89">
        <v>0.0896</v>
      </c>
      <c r="W35" s="89">
        <v>0.0664</v>
      </c>
      <c r="X35" s="89">
        <v>0.0869</v>
      </c>
      <c r="AA35" s="89">
        <v>0.0674</v>
      </c>
      <c r="AB35" s="89">
        <v>0.094</v>
      </c>
      <c r="AH35" s="89">
        <v>0.228</v>
      </c>
      <c r="AI35" s="89">
        <v>0.3095</v>
      </c>
    </row>
    <row r="36" spans="2:35" ht="19.5" customHeight="1">
      <c r="B36" s="251" t="s">
        <v>128</v>
      </c>
      <c r="C36" s="252"/>
      <c r="D36" s="252"/>
      <c r="E36" s="253"/>
      <c r="F36" s="308">
        <v>0.0102</v>
      </c>
      <c r="G36" s="300" t="str">
        <f>IF(F7="Escolha o tipo de obra","",IF(F36="","",IF(F36&lt;C37,"FORA DO LIMITE",IF(F36&gt;E37,"FORA DO LIMITE","OK"))))</f>
        <v>OK</v>
      </c>
      <c r="H36" s="302"/>
      <c r="I36" s="269"/>
      <c r="J36" s="270"/>
      <c r="K36" s="270"/>
      <c r="L36" s="270"/>
      <c r="M36" s="270"/>
      <c r="N36" s="271"/>
      <c r="S36" s="83" t="s">
        <v>129</v>
      </c>
      <c r="T36" s="89">
        <v>0.24</v>
      </c>
      <c r="U36" s="89">
        <v>0.2786</v>
      </c>
      <c r="W36" s="83" t="s">
        <v>130</v>
      </c>
      <c r="X36" s="89">
        <v>0.228</v>
      </c>
      <c r="Y36" s="89">
        <v>0.3095</v>
      </c>
      <c r="AA36" s="83" t="s">
        <v>131</v>
      </c>
      <c r="AB36" s="89">
        <v>0.111</v>
      </c>
      <c r="AC36" s="89">
        <v>0.168</v>
      </c>
      <c r="AH36" s="89">
        <v>0.111</v>
      </c>
      <c r="AI36" s="89">
        <v>0.168</v>
      </c>
    </row>
    <row r="37" spans="2:35" ht="19.5" customHeight="1" thickBot="1">
      <c r="B37" s="91" t="s">
        <v>123</v>
      </c>
      <c r="C37" s="92">
        <f>IF($F$7=$S$13,S34,IF($F$7=$S$14,W34,IF($F$7=$S$15,AA34,IF($F$7=$S$16,S40,IF($F$7=$S$17,W40,IF($F$7=$S$18,AA40,""))))))</f>
        <v>0.0102</v>
      </c>
      <c r="D37" s="93" t="s">
        <v>124</v>
      </c>
      <c r="E37" s="94">
        <f>IF($F$7=$S$13,T34,IF($F$7=$S$14,X34,IF($F$7=$S$15,AB34,IF($F$7=$S$16,T40,IF($F$7=$S$17,X40,IF($F$7=$S$18,AB40,""))))))</f>
        <v>0.0121</v>
      </c>
      <c r="F37" s="309"/>
      <c r="G37" s="272"/>
      <c r="H37" s="274"/>
      <c r="I37" s="269"/>
      <c r="J37" s="270"/>
      <c r="K37" s="270"/>
      <c r="L37" s="270"/>
      <c r="M37" s="270"/>
      <c r="N37" s="271"/>
      <c r="S37" s="89">
        <v>0.0529</v>
      </c>
      <c r="T37" s="89">
        <v>0.0793</v>
      </c>
      <c r="W37" s="89">
        <v>0.04</v>
      </c>
      <c r="X37" s="89">
        <v>0.0785</v>
      </c>
      <c r="AA37" s="89">
        <v>0.015</v>
      </c>
      <c r="AB37" s="89">
        <v>0.0449</v>
      </c>
      <c r="AH37" s="89"/>
      <c r="AI37" s="89"/>
    </row>
    <row r="38" spans="2:35" ht="19.5" customHeight="1">
      <c r="B38" s="251" t="s">
        <v>132</v>
      </c>
      <c r="C38" s="252"/>
      <c r="D38" s="252"/>
      <c r="E38" s="253"/>
      <c r="F38" s="308">
        <v>0.068</v>
      </c>
      <c r="G38" s="300" t="str">
        <f>IF(F7="Escolha o tipo de obra","",IF(F38="","",IF(F38&lt;C39,"FORA DO LIMITE",IF(F38&gt;E39,"FORA DO LIMITE","OK"))))</f>
        <v>OK</v>
      </c>
      <c r="H38" s="302"/>
      <c r="I38" s="300"/>
      <c r="J38" s="301"/>
      <c r="K38" s="301"/>
      <c r="L38" s="301"/>
      <c r="M38" s="301"/>
      <c r="N38" s="302"/>
      <c r="S38" s="89">
        <v>0.0025</v>
      </c>
      <c r="T38" s="89">
        <v>0.0056</v>
      </c>
      <c r="W38" s="89">
        <v>0.0081</v>
      </c>
      <c r="X38" s="89">
        <v>0.0199</v>
      </c>
      <c r="AA38" s="89">
        <v>0.003</v>
      </c>
      <c r="AB38" s="89">
        <v>0.0082</v>
      </c>
      <c r="AH38" s="89"/>
      <c r="AI38" s="89"/>
    </row>
    <row r="39" spans="2:35" ht="19.5" customHeight="1" thickBot="1">
      <c r="B39" s="91" t="s">
        <v>123</v>
      </c>
      <c r="C39" s="92">
        <f>IF($F$7=$S$13,S35,IF($F$7=$S$14,W35,IF($F$7=$S$15,AA35,IF($F$7=$S$16,S41,IF($F$7=$S$17,W41,IF($F$7=$S$18,AA41,""))))))</f>
        <v>0.0664</v>
      </c>
      <c r="D39" s="93" t="s">
        <v>124</v>
      </c>
      <c r="E39" s="94">
        <f>IF($F$7=$S$13,T35,IF($F$7=$S$14,X35,IF($F$7=$S$15,AB35,IF($F$7=$S$16,T41,IF($F$7=$S$17,X41,IF($F$7=$S$18,AB41,""))))))</f>
        <v>0.0869</v>
      </c>
      <c r="F39" s="309"/>
      <c r="G39" s="272"/>
      <c r="H39" s="274"/>
      <c r="I39" s="269"/>
      <c r="J39" s="270"/>
      <c r="K39" s="270"/>
      <c r="L39" s="270"/>
      <c r="M39" s="270"/>
      <c r="N39" s="271"/>
      <c r="S39" s="89">
        <v>0.01</v>
      </c>
      <c r="T39" s="89">
        <v>0.0197</v>
      </c>
      <c r="W39" s="89">
        <v>0.0146</v>
      </c>
      <c r="X39" s="89">
        <v>0.0316</v>
      </c>
      <c r="AA39" s="89">
        <v>0.0056</v>
      </c>
      <c r="AB39" s="89">
        <v>0.0089</v>
      </c>
      <c r="AH39" s="89"/>
      <c r="AI39" s="89"/>
    </row>
    <row r="40" spans="2:35" ht="19.5" customHeight="1" thickBot="1">
      <c r="B40" s="310" t="s">
        <v>133</v>
      </c>
      <c r="C40" s="311"/>
      <c r="D40" s="311"/>
      <c r="E40" s="312"/>
      <c r="F40" s="96">
        <v>0.0065</v>
      </c>
      <c r="G40" s="313" t="str">
        <f>IF(F7="Escolha o tipo de obra","",IF(F40="","",IF(F40&lt;&gt;0.0065,"Em geral deve ser 0,65%","OK")))</f>
        <v>OK</v>
      </c>
      <c r="H40" s="314"/>
      <c r="I40" s="270"/>
      <c r="J40" s="270"/>
      <c r="K40" s="270"/>
      <c r="L40" s="270"/>
      <c r="M40" s="270"/>
      <c r="N40" s="271"/>
      <c r="S40" s="89">
        <v>0.0101</v>
      </c>
      <c r="T40" s="89">
        <v>0.0111</v>
      </c>
      <c r="W40" s="89">
        <v>0.0094</v>
      </c>
      <c r="X40" s="89">
        <v>0.0133</v>
      </c>
      <c r="AA40" s="89">
        <v>0.0085</v>
      </c>
      <c r="AB40" s="89">
        <v>0.0111</v>
      </c>
      <c r="AH40" s="89"/>
      <c r="AI40" s="89"/>
    </row>
    <row r="41" spans="2:35" ht="19.5" customHeight="1" thickBot="1">
      <c r="B41" s="310" t="s">
        <v>134</v>
      </c>
      <c r="C41" s="311"/>
      <c r="D41" s="311"/>
      <c r="E41" s="312"/>
      <c r="F41" s="96">
        <v>0.03</v>
      </c>
      <c r="G41" s="319" t="str">
        <f>IF(F7="Escolha o tipo de obra","",IF(F41="","",IF(F41&lt;&gt;0.03,"Em geral deve ser 3,00%","OK")))</f>
        <v>OK</v>
      </c>
      <c r="H41" s="320"/>
      <c r="I41" s="270"/>
      <c r="J41" s="270"/>
      <c r="K41" s="270"/>
      <c r="L41" s="270"/>
      <c r="M41" s="270"/>
      <c r="N41" s="271"/>
      <c r="S41" s="89">
        <v>0.08</v>
      </c>
      <c r="T41" s="89">
        <v>0.0951</v>
      </c>
      <c r="W41" s="89">
        <v>0.0714</v>
      </c>
      <c r="X41" s="89">
        <v>0.1043</v>
      </c>
      <c r="AA41" s="89">
        <v>0.035</v>
      </c>
      <c r="AB41" s="89">
        <v>0.0622</v>
      </c>
      <c r="AH41" s="89"/>
      <c r="AI41" s="89"/>
    </row>
    <row r="42" spans="2:14" ht="19.5" customHeight="1" thickBot="1">
      <c r="B42" s="310" t="s">
        <v>135</v>
      </c>
      <c r="C42" s="311"/>
      <c r="D42" s="311"/>
      <c r="E42" s="312"/>
      <c r="F42" s="97">
        <v>0.02</v>
      </c>
      <c r="G42" s="319" t="str">
        <f>IF(F7="Escolha o tipo de obra","",IF(F42="","",IF(F42&gt;0.05,"FORA DO LIMITE","OK")))</f>
        <v>OK</v>
      </c>
      <c r="H42" s="320"/>
      <c r="I42" s="269"/>
      <c r="J42" s="270"/>
      <c r="K42" s="270"/>
      <c r="L42" s="270"/>
      <c r="M42" s="270"/>
      <c r="N42" s="271"/>
    </row>
    <row r="43" spans="2:14" ht="19.5" customHeight="1" thickBot="1">
      <c r="B43" s="310" t="s">
        <v>136</v>
      </c>
      <c r="C43" s="311"/>
      <c r="D43" s="311"/>
      <c r="E43" s="312"/>
      <c r="F43" s="98">
        <v>0.045</v>
      </c>
      <c r="G43" s="319" t="str">
        <f>IF(F10="Escolha o regime de contribuição","",IF(F10="DESONERADO","OK",IF(F10="ONERADO","OK")))</f>
        <v>OK</v>
      </c>
      <c r="H43" s="320"/>
      <c r="I43" s="272"/>
      <c r="J43" s="273"/>
      <c r="K43" s="273"/>
      <c r="L43" s="273"/>
      <c r="M43" s="273"/>
      <c r="N43" s="274"/>
    </row>
    <row r="44" spans="2:14" ht="12.75">
      <c r="B44" s="87"/>
      <c r="C44" s="87"/>
      <c r="D44" s="87"/>
      <c r="E44" s="87"/>
      <c r="F44" s="99"/>
      <c r="G44" s="85"/>
      <c r="H44" s="85"/>
      <c r="I44" s="85"/>
      <c r="J44" s="85"/>
      <c r="K44" s="85"/>
      <c r="L44" s="85"/>
      <c r="M44" s="85"/>
      <c r="N44" s="85"/>
    </row>
    <row r="45" spans="2:14" ht="12.75">
      <c r="B45" s="87"/>
      <c r="C45" s="87"/>
      <c r="D45" s="87"/>
      <c r="E45" s="87"/>
      <c r="F45" s="99"/>
      <c r="G45" s="85"/>
      <c r="H45" s="85"/>
      <c r="I45" s="85"/>
      <c r="J45" s="85"/>
      <c r="K45" s="85"/>
      <c r="L45" s="85"/>
      <c r="M45" s="85"/>
      <c r="N45" s="85"/>
    </row>
    <row r="46" spans="2:14" ht="12.75">
      <c r="B46" s="87"/>
      <c r="C46" s="87"/>
      <c r="D46" s="87"/>
      <c r="E46" s="87"/>
      <c r="F46" s="99"/>
      <c r="G46" s="85"/>
      <c r="H46" s="85"/>
      <c r="I46" s="85"/>
      <c r="J46" s="85"/>
      <c r="K46" s="85"/>
      <c r="L46" s="85"/>
      <c r="M46" s="85"/>
      <c r="N46" s="85"/>
    </row>
    <row r="47" ht="12.75"/>
    <row r="48" ht="12.75"/>
    <row r="49" spans="8:14" ht="12.75">
      <c r="H49" s="100"/>
      <c r="I49" s="101"/>
      <c r="J49" s="101"/>
      <c r="K49" s="101"/>
      <c r="L49" s="101"/>
      <c r="M49" s="101"/>
      <c r="N49" s="100"/>
    </row>
    <row r="50" spans="2:14" ht="12.75" customHeight="1">
      <c r="B50" s="315" t="s">
        <v>137</v>
      </c>
      <c r="C50" s="316"/>
      <c r="D50" s="316"/>
      <c r="E50" s="316"/>
      <c r="F50" s="316"/>
      <c r="G50" s="316"/>
      <c r="H50" s="100"/>
      <c r="I50" s="315" t="s">
        <v>138</v>
      </c>
      <c r="J50" s="315"/>
      <c r="K50" s="315"/>
      <c r="L50" s="315"/>
      <c r="M50" s="315"/>
      <c r="N50" s="102"/>
    </row>
    <row r="51" spans="2:14" ht="12.75">
      <c r="B51" s="317"/>
      <c r="C51" s="317"/>
      <c r="D51" s="317"/>
      <c r="E51" s="317"/>
      <c r="F51" s="317"/>
      <c r="G51" s="317"/>
      <c r="H51" s="100"/>
      <c r="I51" s="318"/>
      <c r="J51" s="318"/>
      <c r="K51" s="318"/>
      <c r="L51" s="318"/>
      <c r="M51" s="318"/>
      <c r="N51" s="102"/>
    </row>
    <row r="52" spans="2:14" ht="12.75">
      <c r="B52" s="103"/>
      <c r="C52" s="103"/>
      <c r="D52" s="103"/>
      <c r="E52" s="103"/>
      <c r="F52" s="103"/>
      <c r="G52" s="103"/>
      <c r="I52" s="103"/>
      <c r="J52" s="103"/>
      <c r="K52" s="103"/>
      <c r="L52" s="103"/>
      <c r="M52" s="103"/>
      <c r="N52" s="103"/>
    </row>
    <row r="53" spans="2:14" ht="1.5" customHeight="1" hidden="1">
      <c r="B53" s="103"/>
      <c r="C53" s="103"/>
      <c r="D53" s="103"/>
      <c r="E53" s="103"/>
      <c r="F53" s="103"/>
      <c r="G53" s="103"/>
      <c r="I53" s="103"/>
      <c r="J53" s="103"/>
      <c r="K53" s="103"/>
      <c r="L53" s="103"/>
      <c r="M53" s="103"/>
      <c r="N53" s="103"/>
    </row>
    <row r="54" spans="2:14" ht="12.75" hidden="1">
      <c r="B54" s="103"/>
      <c r="C54" s="103"/>
      <c r="D54" s="103"/>
      <c r="E54" s="103"/>
      <c r="F54" s="103"/>
      <c r="G54" s="103"/>
      <c r="I54" s="103"/>
      <c r="J54" s="103"/>
      <c r="K54" s="103"/>
      <c r="L54" s="103"/>
      <c r="M54" s="103"/>
      <c r="N54" s="103"/>
    </row>
    <row r="55" spans="2:14" ht="12.75" hidden="1">
      <c r="B55" s="103"/>
      <c r="C55" s="103"/>
      <c r="D55" s="103"/>
      <c r="E55" s="103"/>
      <c r="F55" s="103"/>
      <c r="G55" s="103"/>
      <c r="I55" s="103"/>
      <c r="J55" s="103"/>
      <c r="K55" s="103"/>
      <c r="L55" s="103"/>
      <c r="M55" s="103"/>
      <c r="N55" s="103"/>
    </row>
    <row r="56" spans="2:14" ht="12.75" hidden="1">
      <c r="B56" s="103"/>
      <c r="C56" s="103"/>
      <c r="D56" s="103"/>
      <c r="E56" s="103"/>
      <c r="F56" s="103"/>
      <c r="G56" s="103"/>
      <c r="I56" s="103"/>
      <c r="J56" s="103"/>
      <c r="K56" s="103"/>
      <c r="L56" s="103"/>
      <c r="M56" s="103"/>
      <c r="N56" s="103"/>
    </row>
    <row r="57" spans="2:14" ht="12.75" hidden="1">
      <c r="B57" s="103"/>
      <c r="C57" s="103"/>
      <c r="D57" s="103"/>
      <c r="E57" s="103"/>
      <c r="F57" s="103"/>
      <c r="G57" s="103"/>
      <c r="I57" s="103"/>
      <c r="J57" s="103"/>
      <c r="K57" s="103"/>
      <c r="L57" s="103"/>
      <c r="M57" s="103"/>
      <c r="N57" s="103"/>
    </row>
    <row r="58" spans="2:14" ht="12.75" hidden="1">
      <c r="B58" s="103"/>
      <c r="C58" s="103"/>
      <c r="D58" s="103"/>
      <c r="E58" s="103"/>
      <c r="F58" s="103"/>
      <c r="G58" s="103"/>
      <c r="I58" s="103"/>
      <c r="J58" s="103"/>
      <c r="K58" s="103"/>
      <c r="L58" s="103"/>
      <c r="M58" s="103"/>
      <c r="N58" s="103"/>
    </row>
    <row r="59" ht="12.75" hidden="1"/>
    <row r="60" ht="12.75" hidden="1"/>
    <row r="61" ht="12.75" hidden="1"/>
    <row r="62" ht="12.75"/>
    <row r="63" ht="12.75"/>
    <row r="64" ht="12.75"/>
    <row r="65" ht="12.75"/>
    <row r="66" ht="12.75"/>
    <row r="67" ht="12.75"/>
    <row r="68" ht="12.75"/>
    <row r="69" ht="12.75"/>
  </sheetData>
  <sheetProtection selectLockedCells="1"/>
  <mergeCells count="45">
    <mergeCell ref="B50:G51"/>
    <mergeCell ref="I50:M51"/>
    <mergeCell ref="B41:E41"/>
    <mergeCell ref="G41:H41"/>
    <mergeCell ref="B42:E42"/>
    <mergeCell ref="G42:H42"/>
    <mergeCell ref="B43:E43"/>
    <mergeCell ref="G43:H43"/>
    <mergeCell ref="I34:N37"/>
    <mergeCell ref="B36:E36"/>
    <mergeCell ref="F36:F37"/>
    <mergeCell ref="G36:H37"/>
    <mergeCell ref="B38:E38"/>
    <mergeCell ref="F38:F39"/>
    <mergeCell ref="G38:H39"/>
    <mergeCell ref="I38:N43"/>
    <mergeCell ref="B40:E40"/>
    <mergeCell ref="G40:H40"/>
    <mergeCell ref="G30:H31"/>
    <mergeCell ref="B32:E32"/>
    <mergeCell ref="F32:F33"/>
    <mergeCell ref="G32:H33"/>
    <mergeCell ref="B34:E34"/>
    <mergeCell ref="F34:F35"/>
    <mergeCell ref="G34:H35"/>
    <mergeCell ref="F10:H13"/>
    <mergeCell ref="B14:E19"/>
    <mergeCell ref="F14:H28"/>
    <mergeCell ref="B20:E28"/>
    <mergeCell ref="I27:N27"/>
    <mergeCell ref="I28:N33"/>
    <mergeCell ref="B29:E29"/>
    <mergeCell ref="G29:H29"/>
    <mergeCell ref="B30:E30"/>
    <mergeCell ref="F30:F31"/>
    <mergeCell ref="B2:G2"/>
    <mergeCell ref="H2:N2"/>
    <mergeCell ref="B3:G3"/>
    <mergeCell ref="H3:N3"/>
    <mergeCell ref="B5:N6"/>
    <mergeCell ref="B7:E9"/>
    <mergeCell ref="F7:H9"/>
    <mergeCell ref="I7:N7"/>
    <mergeCell ref="I8:N26"/>
    <mergeCell ref="B10:E13"/>
  </mergeCells>
  <conditionalFormatting sqref="F14">
    <cfRule type="cellIs" priority="6" dxfId="7" operator="equal" stopIfTrue="1">
      <formula>"OK"</formula>
    </cfRule>
    <cfRule type="cellIs" priority="7" dxfId="1" operator="equal" stopIfTrue="1">
      <formula>"FORA DA FAIXA"</formula>
    </cfRule>
    <cfRule type="cellIs" priority="8" dxfId="1" operator="equal" stopIfTrue="1">
      <formula>"VERIFICAR ITENS"</formula>
    </cfRule>
  </conditionalFormatting>
  <conditionalFormatting sqref="G30:G42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3:H46">
    <cfRule type="cellIs" priority="1" dxfId="2" operator="equal" stopIfTrue="1">
      <formula>"OK"</formula>
    </cfRule>
    <cfRule type="cellIs" priority="2" dxfId="1" operator="equal" stopIfTrue="1">
      <formula>"FORA DO LIMITE"</formula>
    </cfRule>
    <cfRule type="cellIs" priority="3" dxfId="0" operator="equal" stopIfTrue="1">
      <formula>"Deixar em branco o campo ao lado"</formula>
    </cfRule>
  </conditionalFormatting>
  <dataValidations count="3">
    <dataValidation type="list" allowBlank="1" showInputMessage="1" showErrorMessage="1" sqref="F10:H13">
      <formula1>$Q$7:$Q$9</formula1>
    </dataValidation>
    <dataValidation operator="equal" allowBlank="1" showInputMessage="1" showErrorMessage="1" errorTitle="Atenção" error="Alíquota de recolhimento da contribuição previdenciária deve ser de 2%." sqref="F43:F46"/>
    <dataValidation type="list" allowBlank="1" showInputMessage="1" showErrorMessage="1" sqref="F7:H8">
      <formula1>$S$12:$S$18</formula1>
    </dataValidation>
  </dataValidations>
  <printOptions horizontalCentered="1"/>
  <pageMargins left="0.5905511811023623" right="0.1968503937007874" top="0.5511811023622047" bottom="0.3937007874015748" header="0.5118110236220472" footer="0.5118110236220472"/>
  <pageSetup fitToHeight="1" fitToWidth="1" horizontalDpi="600" verticalDpi="600" orientation="portrait" paperSize="9" scale="69" r:id="rId2"/>
  <headerFooter alignWithMargins="0">
    <oddFooter>&amp;L&amp;D&amp;R&amp;F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PageLayoutView="0" workbookViewId="0" topLeftCell="A62">
      <selection activeCell="A1" sqref="A1:K70"/>
    </sheetView>
  </sheetViews>
  <sheetFormatPr defaultColWidth="9.140625" defaultRowHeight="12.75"/>
  <cols>
    <col min="1" max="1" width="7.28125" style="0" customWidth="1"/>
    <col min="2" max="2" width="12.421875" style="0" bestFit="1" customWidth="1"/>
    <col min="3" max="3" width="10.28125" style="0" bestFit="1" customWidth="1"/>
    <col min="4" max="4" width="54.421875" style="105" customWidth="1"/>
    <col min="5" max="5" width="6.28125" style="0" customWidth="1"/>
    <col min="6" max="6" width="11.8515625" style="0" customWidth="1"/>
    <col min="7" max="7" width="10.57421875" style="0" hidden="1" customWidth="1"/>
    <col min="8" max="8" width="10.57421875" style="123" customWidth="1"/>
    <col min="9" max="9" width="11.28125" style="0" customWidth="1"/>
    <col min="10" max="10" width="11.28125" style="14" customWidth="1"/>
    <col min="11" max="11" width="18.57421875" style="14" customWidth="1"/>
    <col min="12" max="12" width="16.7109375" style="110" hidden="1" customWidth="1"/>
    <col min="13" max="14" width="0" style="0" hidden="1" customWidth="1"/>
    <col min="15" max="15" width="7.8515625" style="195" customWidth="1"/>
  </cols>
  <sheetData>
    <row r="1" spans="1:11" ht="36" customHeight="1">
      <c r="A1" s="382" t="s">
        <v>55</v>
      </c>
      <c r="B1" s="382"/>
      <c r="C1" s="382"/>
      <c r="D1" s="382"/>
      <c r="E1" s="382"/>
      <c r="F1" s="382"/>
      <c r="G1" s="382"/>
      <c r="H1" s="382"/>
      <c r="I1" s="382"/>
      <c r="J1" s="383"/>
      <c r="K1" s="362" t="s">
        <v>7</v>
      </c>
    </row>
    <row r="2" spans="1:11" ht="36" customHeight="1">
      <c r="A2" s="384"/>
      <c r="B2" s="384"/>
      <c r="C2" s="384"/>
      <c r="D2" s="384"/>
      <c r="E2" s="384"/>
      <c r="F2" s="384"/>
      <c r="G2" s="384"/>
      <c r="H2" s="384"/>
      <c r="I2" s="384"/>
      <c r="J2" s="385"/>
      <c r="K2" s="363"/>
    </row>
    <row r="3" spans="1:11" ht="13.5" customHeight="1">
      <c r="A3" s="364" t="s">
        <v>70</v>
      </c>
      <c r="B3" s="365"/>
      <c r="C3" s="365"/>
      <c r="D3" s="365"/>
      <c r="E3" s="365"/>
      <c r="F3" s="365"/>
      <c r="G3" s="365"/>
      <c r="H3" s="365"/>
      <c r="I3" s="366"/>
      <c r="J3" s="8"/>
      <c r="K3" s="2"/>
    </row>
    <row r="4" spans="1:11" ht="12.75" customHeight="1">
      <c r="A4" s="367"/>
      <c r="B4" s="368"/>
      <c r="C4" s="368"/>
      <c r="D4" s="368"/>
      <c r="E4" s="368"/>
      <c r="F4" s="368"/>
      <c r="G4" s="368"/>
      <c r="H4" s="368"/>
      <c r="I4" s="369"/>
      <c r="J4" s="9"/>
      <c r="K4" s="13"/>
    </row>
    <row r="5" spans="1:11" ht="14.25" customHeight="1">
      <c r="A5" s="364" t="s">
        <v>5</v>
      </c>
      <c r="B5" s="365"/>
      <c r="C5" s="365"/>
      <c r="D5" s="372" t="s">
        <v>157</v>
      </c>
      <c r="E5" s="372"/>
      <c r="F5" s="372"/>
      <c r="G5" s="372"/>
      <c r="H5" s="372"/>
      <c r="I5" s="373"/>
      <c r="J5" s="7"/>
      <c r="K5" s="115" t="s">
        <v>9</v>
      </c>
    </row>
    <row r="6" spans="1:11" ht="18">
      <c r="A6" s="370"/>
      <c r="B6" s="371"/>
      <c r="C6" s="371"/>
      <c r="D6" s="374"/>
      <c r="E6" s="374"/>
      <c r="F6" s="374"/>
      <c r="G6" s="374"/>
      <c r="H6" s="374"/>
      <c r="I6" s="375"/>
      <c r="J6" s="12"/>
      <c r="K6" s="207" t="s">
        <v>284</v>
      </c>
    </row>
    <row r="7" spans="1:11" ht="15.75" customHeight="1">
      <c r="A7" s="376" t="s">
        <v>8</v>
      </c>
      <c r="B7" s="377"/>
      <c r="C7" s="378"/>
      <c r="D7" s="379" t="s">
        <v>180</v>
      </c>
      <c r="E7" s="380"/>
      <c r="F7" s="380"/>
      <c r="G7" s="380"/>
      <c r="H7" s="380"/>
      <c r="I7" s="380"/>
      <c r="J7" s="380"/>
      <c r="K7" s="381"/>
    </row>
    <row r="8" spans="1:11" ht="15.75">
      <c r="A8" s="392" t="s">
        <v>285</v>
      </c>
      <c r="B8" s="393"/>
      <c r="C8" s="393"/>
      <c r="D8" s="394"/>
      <c r="E8" s="395">
        <f>BDI!B20</f>
        <v>0.2564</v>
      </c>
      <c r="F8" s="396"/>
      <c r="G8" s="396"/>
      <c r="H8" s="397"/>
      <c r="I8" s="398" t="s">
        <v>117</v>
      </c>
      <c r="J8" s="393"/>
      <c r="K8" s="399"/>
    </row>
    <row r="9" spans="1:11" ht="10.5" customHeight="1" thickBot="1">
      <c r="A9" s="4"/>
      <c r="B9" s="5"/>
      <c r="C9" s="5"/>
      <c r="D9" s="9"/>
      <c r="E9" s="5"/>
      <c r="F9" s="5"/>
      <c r="G9" s="5"/>
      <c r="H9" s="116"/>
      <c r="I9" s="5"/>
      <c r="J9" s="5"/>
      <c r="K9" s="6"/>
    </row>
    <row r="10" spans="1:11" ht="21" customHeight="1">
      <c r="A10" s="360" t="s">
        <v>0</v>
      </c>
      <c r="B10" s="355" t="s">
        <v>198</v>
      </c>
      <c r="C10" s="322" t="s">
        <v>77</v>
      </c>
      <c r="D10" s="322" t="s">
        <v>1</v>
      </c>
      <c r="E10" s="322" t="s">
        <v>2</v>
      </c>
      <c r="F10" s="322" t="s">
        <v>3</v>
      </c>
      <c r="G10" s="322" t="s">
        <v>6</v>
      </c>
      <c r="H10" s="353" t="s">
        <v>6</v>
      </c>
      <c r="I10" s="322" t="s">
        <v>10</v>
      </c>
      <c r="J10" s="322" t="s">
        <v>13</v>
      </c>
      <c r="K10" s="324" t="s">
        <v>12</v>
      </c>
    </row>
    <row r="11" spans="1:14" ht="20.25" customHeight="1">
      <c r="A11" s="361"/>
      <c r="B11" s="356"/>
      <c r="C11" s="323"/>
      <c r="D11" s="323"/>
      <c r="E11" s="323"/>
      <c r="F11" s="323"/>
      <c r="G11" s="323"/>
      <c r="H11" s="354"/>
      <c r="I11" s="323"/>
      <c r="J11" s="323"/>
      <c r="K11" s="325"/>
      <c r="N11" s="129"/>
    </row>
    <row r="12" spans="1:11" ht="20.25" customHeight="1">
      <c r="A12" s="47" t="s">
        <v>14</v>
      </c>
      <c r="B12" s="386" t="s">
        <v>69</v>
      </c>
      <c r="C12" s="387"/>
      <c r="D12" s="387"/>
      <c r="E12" s="387"/>
      <c r="F12" s="387"/>
      <c r="G12" s="387"/>
      <c r="H12" s="387"/>
      <c r="I12" s="387"/>
      <c r="J12" s="387"/>
      <c r="K12" s="388"/>
    </row>
    <row r="13" spans="1:16" ht="36">
      <c r="A13" s="48" t="s">
        <v>41</v>
      </c>
      <c r="B13" s="134" t="s">
        <v>80</v>
      </c>
      <c r="C13" s="58" t="s">
        <v>259</v>
      </c>
      <c r="D13" s="49" t="s">
        <v>287</v>
      </c>
      <c r="E13" s="40" t="s">
        <v>202</v>
      </c>
      <c r="F13" s="59">
        <v>2.88</v>
      </c>
      <c r="G13" s="68"/>
      <c r="H13" s="117">
        <v>0</v>
      </c>
      <c r="I13" s="79">
        <v>0.2564</v>
      </c>
      <c r="J13" s="57">
        <f>H13+H13*I13</f>
        <v>0</v>
      </c>
      <c r="K13" s="70">
        <f>J13*F13</f>
        <v>0</v>
      </c>
      <c r="O13" s="195">
        <f>K13/$K$65</f>
        <v>0</v>
      </c>
      <c r="P13" s="14" t="s">
        <v>286</v>
      </c>
    </row>
    <row r="14" spans="1:15" ht="24">
      <c r="A14" s="50" t="s">
        <v>72</v>
      </c>
      <c r="B14" s="134" t="s">
        <v>260</v>
      </c>
      <c r="C14" s="78" t="s">
        <v>261</v>
      </c>
      <c r="D14" s="69" t="s">
        <v>262</v>
      </c>
      <c r="E14" s="46" t="s">
        <v>263</v>
      </c>
      <c r="F14" s="59">
        <v>2722.72</v>
      </c>
      <c r="G14" s="68"/>
      <c r="H14" s="117">
        <v>0.33</v>
      </c>
      <c r="I14" s="79">
        <v>0.2564</v>
      </c>
      <c r="J14" s="57">
        <f>ROUND(H14*(1+I14),2)</f>
        <v>0.41</v>
      </c>
      <c r="K14" s="70">
        <f>J14*F14</f>
        <v>1116.3151999999998</v>
      </c>
      <c r="O14" s="195">
        <f>K14/$K$65</f>
        <v>0.0019111377872984049</v>
      </c>
    </row>
    <row r="15" spans="1:11" ht="12.75">
      <c r="A15" s="50"/>
      <c r="B15" s="135"/>
      <c r="C15" s="46"/>
      <c r="D15" s="104" t="s">
        <v>16</v>
      </c>
      <c r="E15" s="51"/>
      <c r="F15" s="61"/>
      <c r="G15" s="62"/>
      <c r="H15" s="118"/>
      <c r="I15" s="63"/>
      <c r="J15" s="64"/>
      <c r="K15" s="208">
        <f>SUM(K13:K14)</f>
        <v>1116.3151999999998</v>
      </c>
    </row>
    <row r="16" spans="1:11" ht="4.5" customHeight="1">
      <c r="A16" s="357"/>
      <c r="B16" s="358"/>
      <c r="C16" s="358"/>
      <c r="D16" s="358"/>
      <c r="E16" s="358"/>
      <c r="F16" s="358"/>
      <c r="G16" s="358"/>
      <c r="H16" s="358"/>
      <c r="I16" s="358"/>
      <c r="J16" s="358"/>
      <c r="K16" s="359"/>
    </row>
    <row r="17" spans="1:11" ht="12.75">
      <c r="A17" s="47" t="s">
        <v>17</v>
      </c>
      <c r="B17" s="386" t="s">
        <v>63</v>
      </c>
      <c r="C17" s="387"/>
      <c r="D17" s="387"/>
      <c r="E17" s="387"/>
      <c r="F17" s="387"/>
      <c r="G17" s="387"/>
      <c r="H17" s="387"/>
      <c r="I17" s="387"/>
      <c r="J17" s="387"/>
      <c r="K17" s="388"/>
    </row>
    <row r="18" spans="1:16" s="105" customFormat="1" ht="30" customHeight="1">
      <c r="A18" s="106" t="s">
        <v>42</v>
      </c>
      <c r="B18" s="136" t="s">
        <v>80</v>
      </c>
      <c r="C18" s="107">
        <v>101114</v>
      </c>
      <c r="D18" s="49" t="s">
        <v>142</v>
      </c>
      <c r="E18" s="49" t="s">
        <v>39</v>
      </c>
      <c r="F18" s="108">
        <v>1770</v>
      </c>
      <c r="G18" s="109"/>
      <c r="H18" s="119">
        <v>4.44</v>
      </c>
      <c r="I18" s="79">
        <v>0.2564</v>
      </c>
      <c r="J18" s="57">
        <f aca="true" t="shared" si="0" ref="J18:J24">H18+H18*I18</f>
        <v>5.578416000000001</v>
      </c>
      <c r="K18" s="70">
        <f aca="true" t="shared" si="1" ref="K18:K24">J18*F18</f>
        <v>9873.796320000001</v>
      </c>
      <c r="L18" s="111"/>
      <c r="O18" s="195">
        <f aca="true" t="shared" si="2" ref="O18:O24">K18/$K$65</f>
        <v>0.016903993828302204</v>
      </c>
      <c r="P18" s="211" t="s">
        <v>286</v>
      </c>
    </row>
    <row r="19" spans="1:16" s="105" customFormat="1" ht="34.5" customHeight="1">
      <c r="A19" s="106" t="s">
        <v>43</v>
      </c>
      <c r="B19" s="136" t="s">
        <v>199</v>
      </c>
      <c r="C19" s="49">
        <v>5915407</v>
      </c>
      <c r="D19" s="49" t="s">
        <v>181</v>
      </c>
      <c r="E19" s="49" t="s">
        <v>143</v>
      </c>
      <c r="F19" s="128">
        <f>F20*1.7</f>
        <v>1259.7</v>
      </c>
      <c r="G19" s="109"/>
      <c r="H19" s="119">
        <v>2.66</v>
      </c>
      <c r="I19" s="79">
        <v>0.2564</v>
      </c>
      <c r="J19" s="57">
        <f>H19+H19*I19</f>
        <v>3.3420240000000003</v>
      </c>
      <c r="K19" s="70">
        <f>J19*F19</f>
        <v>4209.947632800001</v>
      </c>
      <c r="L19" s="111"/>
      <c r="M19" s="105" t="s">
        <v>182</v>
      </c>
      <c r="O19" s="195">
        <f t="shared" si="2"/>
        <v>0.007207453596969344</v>
      </c>
      <c r="P19" s="211" t="s">
        <v>286</v>
      </c>
    </row>
    <row r="20" spans="1:16" ht="19.5" customHeight="1">
      <c r="A20" s="106" t="s">
        <v>44</v>
      </c>
      <c r="B20" s="136" t="s">
        <v>199</v>
      </c>
      <c r="C20" s="40">
        <v>5502978</v>
      </c>
      <c r="D20" s="49" t="s">
        <v>65</v>
      </c>
      <c r="E20" s="40" t="s">
        <v>39</v>
      </c>
      <c r="F20" s="59">
        <v>741</v>
      </c>
      <c r="G20" s="68"/>
      <c r="H20" s="117">
        <v>4.96</v>
      </c>
      <c r="I20" s="79">
        <v>0.2564</v>
      </c>
      <c r="J20" s="57">
        <f>H20+H20*I20</f>
        <v>6.231744</v>
      </c>
      <c r="K20" s="70">
        <f>J20*F20</f>
        <v>4617.722304</v>
      </c>
      <c r="O20" s="195">
        <f t="shared" si="2"/>
        <v>0.007905566086016794</v>
      </c>
      <c r="P20" s="14" t="s">
        <v>286</v>
      </c>
    </row>
    <row r="21" spans="1:16" ht="24">
      <c r="A21" s="106" t="s">
        <v>45</v>
      </c>
      <c r="B21" s="134" t="s">
        <v>80</v>
      </c>
      <c r="C21" s="78">
        <v>100575</v>
      </c>
      <c r="D21" s="49" t="s">
        <v>175</v>
      </c>
      <c r="E21" s="40" t="s">
        <v>20</v>
      </c>
      <c r="F21" s="59">
        <v>3109</v>
      </c>
      <c r="G21" s="68"/>
      <c r="H21" s="117">
        <v>0.15</v>
      </c>
      <c r="I21" s="79">
        <v>0.2564</v>
      </c>
      <c r="J21" s="57">
        <f>H21+H21*I21</f>
        <v>0.18846</v>
      </c>
      <c r="K21" s="70">
        <f>J21*F21</f>
        <v>585.92214</v>
      </c>
      <c r="O21" s="195">
        <f t="shared" si="2"/>
        <v>0.0010031019394600616</v>
      </c>
      <c r="P21" s="14" t="s">
        <v>286</v>
      </c>
    </row>
    <row r="22" spans="1:16" s="105" customFormat="1" ht="34.5" customHeight="1">
      <c r="A22" s="106" t="s">
        <v>144</v>
      </c>
      <c r="B22" s="136" t="s">
        <v>199</v>
      </c>
      <c r="C22" s="49">
        <v>5915407</v>
      </c>
      <c r="D22" s="49" t="s">
        <v>176</v>
      </c>
      <c r="E22" s="49" t="s">
        <v>143</v>
      </c>
      <c r="F22" s="128">
        <v>1029</v>
      </c>
      <c r="G22" s="109"/>
      <c r="H22" s="119">
        <v>2.66</v>
      </c>
      <c r="I22" s="79">
        <v>0.2564</v>
      </c>
      <c r="J22" s="57">
        <f t="shared" si="0"/>
        <v>3.3420240000000003</v>
      </c>
      <c r="K22" s="70">
        <f t="shared" si="1"/>
        <v>3438.9426960000005</v>
      </c>
      <c r="L22" s="111"/>
      <c r="O22" s="195">
        <f t="shared" si="2"/>
        <v>0.005887488887260026</v>
      </c>
      <c r="P22" s="211" t="s">
        <v>286</v>
      </c>
    </row>
    <row r="23" spans="1:16" s="105" customFormat="1" ht="39.75" customHeight="1">
      <c r="A23" s="106" t="s">
        <v>146</v>
      </c>
      <c r="B23" s="136" t="s">
        <v>80</v>
      </c>
      <c r="C23" s="49">
        <v>101132</v>
      </c>
      <c r="D23" s="49" t="s">
        <v>145</v>
      </c>
      <c r="E23" s="49" t="s">
        <v>39</v>
      </c>
      <c r="F23" s="108">
        <v>5</v>
      </c>
      <c r="G23" s="109"/>
      <c r="H23" s="119">
        <v>17.93</v>
      </c>
      <c r="I23" s="79">
        <v>0.2564</v>
      </c>
      <c r="J23" s="57">
        <f t="shared" si="0"/>
        <v>22.527252</v>
      </c>
      <c r="K23" s="70">
        <f t="shared" si="1"/>
        <v>112.63626000000001</v>
      </c>
      <c r="L23" s="111"/>
      <c r="O23" s="195">
        <f t="shared" si="2"/>
        <v>0.00019283389915856014</v>
      </c>
      <c r="P23" s="211" t="s">
        <v>286</v>
      </c>
    </row>
    <row r="24" spans="1:16" ht="39.75" customHeight="1">
      <c r="A24" s="106" t="s">
        <v>200</v>
      </c>
      <c r="B24" s="134" t="s">
        <v>80</v>
      </c>
      <c r="C24" s="40">
        <v>102354</v>
      </c>
      <c r="D24" s="49" t="s">
        <v>147</v>
      </c>
      <c r="E24" s="40" t="s">
        <v>39</v>
      </c>
      <c r="F24" s="59">
        <v>5</v>
      </c>
      <c r="G24" s="68"/>
      <c r="H24" s="117">
        <v>154.63</v>
      </c>
      <c r="I24" s="79">
        <v>0.2564</v>
      </c>
      <c r="J24" s="57">
        <f t="shared" si="0"/>
        <v>194.277132</v>
      </c>
      <c r="K24" s="70">
        <f t="shared" si="1"/>
        <v>971.3856599999999</v>
      </c>
      <c r="O24" s="195">
        <f t="shared" si="2"/>
        <v>0.001663017614438826</v>
      </c>
      <c r="P24" s="211" t="s">
        <v>286</v>
      </c>
    </row>
    <row r="25" spans="1:12" ht="12.75">
      <c r="A25" s="52"/>
      <c r="B25" s="137"/>
      <c r="C25" s="36"/>
      <c r="D25" s="104" t="s">
        <v>16</v>
      </c>
      <c r="E25" s="51"/>
      <c r="F25" s="61"/>
      <c r="G25" s="62"/>
      <c r="H25" s="120"/>
      <c r="I25" s="63"/>
      <c r="J25" s="64"/>
      <c r="K25" s="208">
        <f>SUM(K18:K24)</f>
        <v>23810.353012800002</v>
      </c>
      <c r="L25" s="131"/>
    </row>
    <row r="26" spans="1:11" ht="4.5" customHeight="1">
      <c r="A26" s="403"/>
      <c r="B26" s="404"/>
      <c r="C26" s="404"/>
      <c r="D26" s="404"/>
      <c r="E26" s="404"/>
      <c r="F26" s="404"/>
      <c r="G26" s="404"/>
      <c r="H26" s="404"/>
      <c r="I26" s="404"/>
      <c r="J26" s="404"/>
      <c r="K26" s="405"/>
    </row>
    <row r="27" spans="1:11" ht="12.75">
      <c r="A27" s="47" t="s">
        <v>40</v>
      </c>
      <c r="B27" s="389" t="s">
        <v>38</v>
      </c>
      <c r="C27" s="390"/>
      <c r="D27" s="390"/>
      <c r="E27" s="390"/>
      <c r="F27" s="390"/>
      <c r="G27" s="390"/>
      <c r="H27" s="390"/>
      <c r="I27" s="390"/>
      <c r="J27" s="390"/>
      <c r="K27" s="391"/>
    </row>
    <row r="28" spans="1:16" ht="45" customHeight="1">
      <c r="A28" s="48" t="s">
        <v>46</v>
      </c>
      <c r="B28" s="134" t="s">
        <v>80</v>
      </c>
      <c r="C28" s="40">
        <v>102314</v>
      </c>
      <c r="D28" s="49" t="s">
        <v>148</v>
      </c>
      <c r="E28" s="40" t="s">
        <v>39</v>
      </c>
      <c r="F28" s="59">
        <f>20*1.5*2</f>
        <v>60</v>
      </c>
      <c r="G28" s="15"/>
      <c r="H28" s="117">
        <v>9.32</v>
      </c>
      <c r="I28" s="79">
        <v>0.2564</v>
      </c>
      <c r="J28" s="57">
        <f aca="true" t="shared" si="3" ref="J28:J34">H28+H28*I28</f>
        <v>11.709648000000001</v>
      </c>
      <c r="K28" s="60">
        <f aca="true" t="shared" si="4" ref="K28:K34">J28*F28</f>
        <v>702.57888</v>
      </c>
      <c r="M28" t="s">
        <v>183</v>
      </c>
      <c r="O28" s="195">
        <f aca="true" t="shared" si="5" ref="O28:O34">K28/$K$65</f>
        <v>0.0012028189225818942</v>
      </c>
      <c r="P28" s="14" t="s">
        <v>286</v>
      </c>
    </row>
    <row r="29" spans="1:16" ht="60">
      <c r="A29" s="48" t="s">
        <v>47</v>
      </c>
      <c r="B29" s="134" t="s">
        <v>80</v>
      </c>
      <c r="C29" s="40" t="s">
        <v>264</v>
      </c>
      <c r="D29" s="49" t="s">
        <v>265</v>
      </c>
      <c r="E29" s="40" t="s">
        <v>223</v>
      </c>
      <c r="F29" s="59">
        <f>F28-(((3.1415*0.7*0.7)/4)*20)</f>
        <v>52.303325</v>
      </c>
      <c r="G29" s="41"/>
      <c r="H29" s="117">
        <v>11.6</v>
      </c>
      <c r="I29" s="79">
        <v>0.2564</v>
      </c>
      <c r="J29" s="57">
        <f t="shared" si="3"/>
        <v>14.57424</v>
      </c>
      <c r="K29" s="60">
        <f t="shared" si="4"/>
        <v>762.2812113479999</v>
      </c>
      <c r="L29" s="110">
        <f>144.57-5.04</f>
        <v>139.53</v>
      </c>
      <c r="O29" s="195">
        <f t="shared" si="5"/>
        <v>0.0013050296435583467</v>
      </c>
      <c r="P29" s="14" t="s">
        <v>286</v>
      </c>
    </row>
    <row r="30" spans="1:16" ht="30" customHeight="1">
      <c r="A30" s="48" t="s">
        <v>48</v>
      </c>
      <c r="B30" s="134" t="s">
        <v>80</v>
      </c>
      <c r="C30" s="49">
        <v>102738</v>
      </c>
      <c r="D30" s="49" t="s">
        <v>184</v>
      </c>
      <c r="E30" s="42" t="s">
        <v>19</v>
      </c>
      <c r="F30" s="59">
        <v>2</v>
      </c>
      <c r="G30" s="41"/>
      <c r="H30" s="117">
        <v>2339.47</v>
      </c>
      <c r="I30" s="79">
        <f>$E$8</f>
        <v>0.2564</v>
      </c>
      <c r="J30" s="57">
        <f t="shared" si="3"/>
        <v>2939.3101079999997</v>
      </c>
      <c r="K30" s="60">
        <f t="shared" si="4"/>
        <v>5878.620215999999</v>
      </c>
      <c r="O30" s="195">
        <f t="shared" si="5"/>
        <v>0.010064230274723404</v>
      </c>
      <c r="P30" s="14" t="s">
        <v>286</v>
      </c>
    </row>
    <row r="31" spans="1:16" ht="36">
      <c r="A31" s="48" t="s">
        <v>49</v>
      </c>
      <c r="B31" s="134" t="s">
        <v>80</v>
      </c>
      <c r="C31" s="49" t="s">
        <v>266</v>
      </c>
      <c r="D31" s="49" t="s">
        <v>267</v>
      </c>
      <c r="E31" s="42" t="s">
        <v>223</v>
      </c>
      <c r="F31" s="59">
        <f>F33*0.8*0.1</f>
        <v>1.6</v>
      </c>
      <c r="G31" s="41"/>
      <c r="H31" s="117">
        <v>191.28</v>
      </c>
      <c r="I31" s="79">
        <f>$E$8</f>
        <v>0.2564</v>
      </c>
      <c r="J31" s="57">
        <f>H31+H31*I31</f>
        <v>240.324192</v>
      </c>
      <c r="K31" s="60">
        <f>J31*F31</f>
        <v>384.51870720000005</v>
      </c>
      <c r="O31" s="195">
        <f t="shared" si="5"/>
        <v>0.0006582981502473956</v>
      </c>
      <c r="P31" s="14" t="s">
        <v>286</v>
      </c>
    </row>
    <row r="32" spans="1:16" ht="48">
      <c r="A32" s="48" t="s">
        <v>66</v>
      </c>
      <c r="B32" s="134" t="s">
        <v>80</v>
      </c>
      <c r="C32" s="49" t="s">
        <v>270</v>
      </c>
      <c r="D32" s="49" t="s">
        <v>271</v>
      </c>
      <c r="E32" s="42" t="s">
        <v>221</v>
      </c>
      <c r="F32" s="59">
        <f>F33</f>
        <v>20</v>
      </c>
      <c r="G32" s="41"/>
      <c r="H32" s="117">
        <v>54.49</v>
      </c>
      <c r="I32" s="79">
        <f>$E$8</f>
        <v>0.2564</v>
      </c>
      <c r="J32" s="57">
        <f>H32+H32*I32</f>
        <v>68.461236</v>
      </c>
      <c r="K32" s="60">
        <f>J32*F32</f>
        <v>1369.22472</v>
      </c>
      <c r="O32" s="195">
        <f t="shared" si="5"/>
        <v>0.002344120282242039</v>
      </c>
      <c r="P32" s="14" t="s">
        <v>286</v>
      </c>
    </row>
    <row r="33" spans="1:16" ht="36">
      <c r="A33" s="48" t="s">
        <v>268</v>
      </c>
      <c r="B33" s="134" t="s">
        <v>272</v>
      </c>
      <c r="C33" s="49" t="s">
        <v>273</v>
      </c>
      <c r="D33" s="49" t="s">
        <v>274</v>
      </c>
      <c r="E33" s="42" t="s">
        <v>255</v>
      </c>
      <c r="F33" s="59">
        <v>20</v>
      </c>
      <c r="G33" s="41"/>
      <c r="H33" s="117">
        <v>93.22</v>
      </c>
      <c r="I33" s="79">
        <v>0.2564</v>
      </c>
      <c r="J33" s="57">
        <f t="shared" si="3"/>
        <v>117.121608</v>
      </c>
      <c r="K33" s="60">
        <f t="shared" si="4"/>
        <v>2342.43216</v>
      </c>
      <c r="O33" s="195">
        <f t="shared" si="5"/>
        <v>0.004010256794101723</v>
      </c>
      <c r="P33" s="14" t="s">
        <v>286</v>
      </c>
    </row>
    <row r="34" spans="1:16" s="129" customFormat="1" ht="24">
      <c r="A34" s="48" t="s">
        <v>269</v>
      </c>
      <c r="B34" s="197" t="s">
        <v>199</v>
      </c>
      <c r="C34" s="198" t="s">
        <v>275</v>
      </c>
      <c r="D34" s="199" t="s">
        <v>276</v>
      </c>
      <c r="E34" s="200" t="s">
        <v>15</v>
      </c>
      <c r="F34" s="201">
        <v>190</v>
      </c>
      <c r="G34" s="202"/>
      <c r="H34" s="203">
        <v>54.45</v>
      </c>
      <c r="I34" s="204">
        <v>0.2564</v>
      </c>
      <c r="J34" s="205">
        <f t="shared" si="3"/>
        <v>68.41098000000001</v>
      </c>
      <c r="K34" s="206">
        <f t="shared" si="4"/>
        <v>12998.086200000002</v>
      </c>
      <c r="L34" s="194"/>
      <c r="O34" s="195">
        <f t="shared" si="5"/>
        <v>0.022252795356886602</v>
      </c>
      <c r="P34" s="14" t="s">
        <v>286</v>
      </c>
    </row>
    <row r="35" spans="1:12" ht="23.25" customHeight="1">
      <c r="A35" s="50"/>
      <c r="B35" s="135"/>
      <c r="C35" s="36"/>
      <c r="D35" s="104" t="s">
        <v>16</v>
      </c>
      <c r="E35" s="51"/>
      <c r="F35" s="61"/>
      <c r="G35" s="62"/>
      <c r="H35" s="120"/>
      <c r="I35" s="63"/>
      <c r="J35" s="64"/>
      <c r="K35" s="209">
        <f>SUM(K28:K34)</f>
        <v>24437.742094548</v>
      </c>
      <c r="L35" s="130"/>
    </row>
    <row r="36" spans="1:11" ht="4.5" customHeight="1">
      <c r="A36" s="400"/>
      <c r="B36" s="401"/>
      <c r="C36" s="401"/>
      <c r="D36" s="401"/>
      <c r="E36" s="401"/>
      <c r="F36" s="401"/>
      <c r="G36" s="401"/>
      <c r="H36" s="401"/>
      <c r="I36" s="401"/>
      <c r="J36" s="401"/>
      <c r="K36" s="402"/>
    </row>
    <row r="37" spans="1:11" ht="12.75">
      <c r="A37" s="47" t="s">
        <v>18</v>
      </c>
      <c r="B37" s="389" t="s">
        <v>36</v>
      </c>
      <c r="C37" s="390"/>
      <c r="D37" s="390"/>
      <c r="E37" s="390"/>
      <c r="F37" s="390"/>
      <c r="G37" s="390"/>
      <c r="H37" s="390"/>
      <c r="I37" s="390"/>
      <c r="J37" s="390"/>
      <c r="K37" s="391"/>
    </row>
    <row r="38" spans="1:16" ht="19.5" customHeight="1">
      <c r="A38" s="48" t="s">
        <v>50</v>
      </c>
      <c r="B38" s="134" t="s">
        <v>80</v>
      </c>
      <c r="C38" s="40">
        <v>100576</v>
      </c>
      <c r="D38" s="49" t="s">
        <v>61</v>
      </c>
      <c r="E38" s="40" t="s">
        <v>20</v>
      </c>
      <c r="F38" s="65">
        <v>3109</v>
      </c>
      <c r="G38" s="41"/>
      <c r="H38" s="117">
        <v>2.65</v>
      </c>
      <c r="I38" s="79">
        <v>0.2564</v>
      </c>
      <c r="J38" s="57">
        <f aca="true" t="shared" si="6" ref="J38:J50">H38+H38*I38</f>
        <v>3.32946</v>
      </c>
      <c r="K38" s="60">
        <f aca="true" t="shared" si="7" ref="K38:K49">J38*F38</f>
        <v>10351.29114</v>
      </c>
      <c r="O38" s="195">
        <f aca="true" t="shared" si="8" ref="O38:O54">K38/$K$65</f>
        <v>0.01772146759712775</v>
      </c>
      <c r="P38" s="14" t="s">
        <v>286</v>
      </c>
    </row>
    <row r="39" spans="1:15" ht="36">
      <c r="A39" s="48" t="s">
        <v>51</v>
      </c>
      <c r="B39" s="134" t="s">
        <v>260</v>
      </c>
      <c r="C39" s="40" t="s">
        <v>277</v>
      </c>
      <c r="D39" s="49" t="s">
        <v>280</v>
      </c>
      <c r="E39" s="40" t="s">
        <v>278</v>
      </c>
      <c r="F39" s="65">
        <v>435</v>
      </c>
      <c r="G39" s="41"/>
      <c r="H39" s="117">
        <v>121.95</v>
      </c>
      <c r="I39" s="79">
        <v>0.2564</v>
      </c>
      <c r="J39" s="57">
        <f t="shared" si="6"/>
        <v>153.21798</v>
      </c>
      <c r="K39" s="60">
        <f t="shared" si="7"/>
        <v>66649.82130000001</v>
      </c>
      <c r="O39" s="195">
        <f t="shared" si="8"/>
        <v>0.11410486214208687</v>
      </c>
    </row>
    <row r="40" spans="1:16" ht="19.5" customHeight="1">
      <c r="A40" s="48" t="s">
        <v>52</v>
      </c>
      <c r="B40" s="134" t="s">
        <v>80</v>
      </c>
      <c r="C40" s="40">
        <v>100974</v>
      </c>
      <c r="D40" s="49" t="s">
        <v>164</v>
      </c>
      <c r="E40" s="40" t="s">
        <v>39</v>
      </c>
      <c r="F40" s="65">
        <f>F39</f>
        <v>435</v>
      </c>
      <c r="G40" s="41"/>
      <c r="H40" s="117">
        <v>9.02</v>
      </c>
      <c r="I40" s="79">
        <v>0.2564</v>
      </c>
      <c r="J40" s="57">
        <f>H40+H40*I40</f>
        <v>11.332728</v>
      </c>
      <c r="K40" s="60">
        <f>J40*F40</f>
        <v>4929.73668</v>
      </c>
      <c r="O40" s="195">
        <f t="shared" si="8"/>
        <v>0.008439736420841521</v>
      </c>
      <c r="P40" s="14" t="s">
        <v>286</v>
      </c>
    </row>
    <row r="41" spans="1:16" ht="34.5" customHeight="1">
      <c r="A41" s="48" t="s">
        <v>53</v>
      </c>
      <c r="B41" s="134" t="s">
        <v>80</v>
      </c>
      <c r="C41" s="40">
        <v>93593</v>
      </c>
      <c r="D41" s="49" t="s">
        <v>197</v>
      </c>
      <c r="E41" s="40" t="s">
        <v>177</v>
      </c>
      <c r="F41" s="65">
        <f>(F39+F42)*23.6</f>
        <v>21995.2</v>
      </c>
      <c r="G41" s="41"/>
      <c r="H41" s="117">
        <v>0.85</v>
      </c>
      <c r="I41" s="79">
        <v>0.2564</v>
      </c>
      <c r="J41" s="57">
        <f t="shared" si="6"/>
        <v>1.06794</v>
      </c>
      <c r="K41" s="60">
        <f t="shared" si="7"/>
        <v>23489.553888</v>
      </c>
      <c r="M41" s="14"/>
      <c r="O41" s="195">
        <f t="shared" si="8"/>
        <v>0.04021424597832133</v>
      </c>
      <c r="P41" s="14" t="s">
        <v>286</v>
      </c>
    </row>
    <row r="42" spans="1:15" ht="36">
      <c r="A42" s="48" t="s">
        <v>57</v>
      </c>
      <c r="B42" s="134" t="s">
        <v>260</v>
      </c>
      <c r="C42" s="40" t="s">
        <v>279</v>
      </c>
      <c r="D42" s="49" t="s">
        <v>281</v>
      </c>
      <c r="E42" s="40" t="s">
        <v>238</v>
      </c>
      <c r="F42" s="65">
        <v>497</v>
      </c>
      <c r="G42" s="41"/>
      <c r="H42" s="117">
        <v>141.51</v>
      </c>
      <c r="I42" s="79">
        <v>0.2564</v>
      </c>
      <c r="J42" s="57">
        <f>H42+H42*I42</f>
        <v>177.793164</v>
      </c>
      <c r="K42" s="60">
        <f>J42*F42</f>
        <v>88363.202508</v>
      </c>
      <c r="M42" s="14"/>
      <c r="O42" s="195">
        <f t="shared" si="8"/>
        <v>0.15127829068325865</v>
      </c>
    </row>
    <row r="43" spans="1:16" ht="39.75" customHeight="1">
      <c r="A43" s="48" t="s">
        <v>58</v>
      </c>
      <c r="B43" s="134" t="s">
        <v>80</v>
      </c>
      <c r="C43" s="40">
        <v>100974</v>
      </c>
      <c r="D43" s="49" t="s">
        <v>165</v>
      </c>
      <c r="E43" s="40" t="s">
        <v>39</v>
      </c>
      <c r="F43" s="65">
        <f>F42</f>
        <v>497</v>
      </c>
      <c r="G43" s="41"/>
      <c r="H43" s="117">
        <v>9.02</v>
      </c>
      <c r="I43" s="79">
        <v>0.2564</v>
      </c>
      <c r="J43" s="57">
        <f t="shared" si="6"/>
        <v>11.332728</v>
      </c>
      <c r="K43" s="60">
        <f t="shared" si="7"/>
        <v>5632.3658159999995</v>
      </c>
      <c r="L43" s="112"/>
      <c r="M43" s="14"/>
      <c r="O43" s="195">
        <f t="shared" si="8"/>
        <v>0.009642641381972955</v>
      </c>
      <c r="P43" s="14" t="s">
        <v>286</v>
      </c>
    </row>
    <row r="44" spans="1:16" s="14" customFormat="1" ht="28.5" customHeight="1">
      <c r="A44" s="141" t="s">
        <v>208</v>
      </c>
      <c r="B44" s="134" t="s">
        <v>199</v>
      </c>
      <c r="C44" s="40">
        <v>4011353</v>
      </c>
      <c r="D44" s="49" t="s">
        <v>201</v>
      </c>
      <c r="E44" s="40" t="s">
        <v>202</v>
      </c>
      <c r="F44" s="44">
        <v>3109</v>
      </c>
      <c r="G44" s="41"/>
      <c r="H44" s="133">
        <v>0.28</v>
      </c>
      <c r="I44" s="79">
        <v>0.2564</v>
      </c>
      <c r="J44" s="57">
        <f>H44+H44*I44</f>
        <v>0.35179200000000005</v>
      </c>
      <c r="K44" s="60">
        <f t="shared" si="7"/>
        <v>1093.721328</v>
      </c>
      <c r="L44" s="112"/>
      <c r="O44" s="195">
        <f t="shared" si="8"/>
        <v>0.0018724569536587815</v>
      </c>
      <c r="P44" s="14" t="s">
        <v>286</v>
      </c>
    </row>
    <row r="45" spans="1:16" s="14" customFormat="1" ht="28.5" customHeight="1">
      <c r="A45" s="141" t="s">
        <v>209</v>
      </c>
      <c r="B45" s="134" t="s">
        <v>203</v>
      </c>
      <c r="C45" s="40" t="s">
        <v>282</v>
      </c>
      <c r="D45" s="49" t="s">
        <v>204</v>
      </c>
      <c r="E45" s="40" t="s">
        <v>205</v>
      </c>
      <c r="F45" s="44">
        <f>0.00045*F44</f>
        <v>1.39905</v>
      </c>
      <c r="G45" s="41"/>
      <c r="H45" s="133">
        <f>(2.57982*1000)*1.17</f>
        <v>3018.3893999999996</v>
      </c>
      <c r="I45" s="79">
        <v>0.15</v>
      </c>
      <c r="J45" s="57">
        <f>H45+H45*I45</f>
        <v>3471.1478099999995</v>
      </c>
      <c r="K45" s="60">
        <f t="shared" si="7"/>
        <v>4856.3093435804985</v>
      </c>
      <c r="L45" s="112"/>
      <c r="O45" s="195">
        <f t="shared" si="8"/>
        <v>0.00831402841538573</v>
      </c>
      <c r="P45" s="14" t="s">
        <v>286</v>
      </c>
    </row>
    <row r="46" spans="1:16" ht="19.5" customHeight="1">
      <c r="A46" s="48" t="s">
        <v>64</v>
      </c>
      <c r="B46" s="134" t="s">
        <v>199</v>
      </c>
      <c r="C46" s="40">
        <v>4011351</v>
      </c>
      <c r="D46" s="49" t="s">
        <v>37</v>
      </c>
      <c r="E46" s="40" t="s">
        <v>20</v>
      </c>
      <c r="F46" s="65">
        <v>3109</v>
      </c>
      <c r="G46" s="41"/>
      <c r="H46" s="117">
        <v>0.37</v>
      </c>
      <c r="I46" s="79">
        <v>0.2564</v>
      </c>
      <c r="J46" s="57">
        <f t="shared" si="6"/>
        <v>0.464868</v>
      </c>
      <c r="K46" s="60">
        <f t="shared" si="7"/>
        <v>1445.274612</v>
      </c>
      <c r="O46" s="195">
        <f t="shared" si="8"/>
        <v>0.002474318117334818</v>
      </c>
      <c r="P46" s="14" t="s">
        <v>286</v>
      </c>
    </row>
    <row r="47" spans="1:16" s="149" customFormat="1" ht="24">
      <c r="A47" s="142" t="s">
        <v>210</v>
      </c>
      <c r="B47" s="143" t="s">
        <v>203</v>
      </c>
      <c r="C47" s="69" t="s">
        <v>282</v>
      </c>
      <c r="D47" s="69" t="s">
        <v>283</v>
      </c>
      <c r="E47" s="46" t="s">
        <v>143</v>
      </c>
      <c r="F47" s="82">
        <f>F46*0.0012</f>
        <v>3.7308</v>
      </c>
      <c r="G47" s="15"/>
      <c r="H47" s="144">
        <f>2.63830018789456*1000*1.17</f>
        <v>3086.8112198366352</v>
      </c>
      <c r="I47" s="145">
        <v>0.15</v>
      </c>
      <c r="J47" s="146">
        <f t="shared" si="6"/>
        <v>3549.8329028121307</v>
      </c>
      <c r="K47" s="147">
        <f t="shared" si="7"/>
        <v>13243.716593811496</v>
      </c>
      <c r="L47" s="148"/>
      <c r="O47" s="195">
        <f t="shared" si="8"/>
        <v>0.02267331594759623</v>
      </c>
      <c r="P47" s="212" t="s">
        <v>286</v>
      </c>
    </row>
    <row r="48" spans="1:16" ht="34.5" customHeight="1">
      <c r="A48" s="48" t="s">
        <v>178</v>
      </c>
      <c r="B48" s="134" t="s">
        <v>80</v>
      </c>
      <c r="C48" s="40">
        <v>95995</v>
      </c>
      <c r="D48" s="49" t="s">
        <v>186</v>
      </c>
      <c r="E48" s="40" t="s">
        <v>39</v>
      </c>
      <c r="F48" s="65">
        <v>155</v>
      </c>
      <c r="G48" s="41"/>
      <c r="H48" s="117">
        <v>1438.55</v>
      </c>
      <c r="I48" s="79">
        <v>0.2564</v>
      </c>
      <c r="J48" s="57">
        <f t="shared" si="6"/>
        <v>1807.39422</v>
      </c>
      <c r="K48" s="60">
        <f t="shared" si="7"/>
        <v>280146.1041</v>
      </c>
      <c r="O48" s="195">
        <f t="shared" si="8"/>
        <v>0.4796116773380338</v>
      </c>
      <c r="P48" s="212" t="s">
        <v>286</v>
      </c>
    </row>
    <row r="49" spans="1:16" ht="30" customHeight="1">
      <c r="A49" s="48" t="s">
        <v>179</v>
      </c>
      <c r="B49" s="134" t="s">
        <v>80</v>
      </c>
      <c r="C49" s="43">
        <v>93588</v>
      </c>
      <c r="D49" s="49" t="s">
        <v>185</v>
      </c>
      <c r="E49" s="40" t="s">
        <v>177</v>
      </c>
      <c r="F49" s="65">
        <f>F48*23.6</f>
        <v>3658</v>
      </c>
      <c r="G49" s="41"/>
      <c r="H49" s="117">
        <v>3.12</v>
      </c>
      <c r="I49" s="79">
        <v>0.2564</v>
      </c>
      <c r="J49" s="57">
        <f t="shared" si="6"/>
        <v>3.9199680000000003</v>
      </c>
      <c r="K49" s="60">
        <f t="shared" si="7"/>
        <v>14339.242944000001</v>
      </c>
      <c r="O49" s="195">
        <f t="shared" si="8"/>
        <v>0.024548863109210044</v>
      </c>
      <c r="P49" s="212" t="s">
        <v>286</v>
      </c>
    </row>
    <row r="50" spans="1:16" ht="30" customHeight="1">
      <c r="A50" s="48" t="s">
        <v>189</v>
      </c>
      <c r="B50" s="134" t="s">
        <v>80</v>
      </c>
      <c r="C50" s="40">
        <v>97636</v>
      </c>
      <c r="D50" s="49" t="s">
        <v>190</v>
      </c>
      <c r="E50" s="42" t="s">
        <v>20</v>
      </c>
      <c r="F50" s="44">
        <v>195</v>
      </c>
      <c r="G50" s="41"/>
      <c r="H50" s="133">
        <v>23.97</v>
      </c>
      <c r="I50" s="79">
        <v>0.2564</v>
      </c>
      <c r="J50" s="57">
        <f t="shared" si="6"/>
        <v>30.115907999999997</v>
      </c>
      <c r="K50" s="60">
        <f>J50*F50</f>
        <v>5872.602059999999</v>
      </c>
      <c r="O50" s="195">
        <f t="shared" si="8"/>
        <v>0.01005392715841588</v>
      </c>
      <c r="P50" s="212" t="s">
        <v>286</v>
      </c>
    </row>
    <row r="51" spans="1:16" ht="30" customHeight="1">
      <c r="A51" s="48" t="s">
        <v>192</v>
      </c>
      <c r="B51" s="134" t="s">
        <v>80</v>
      </c>
      <c r="C51" s="43">
        <v>102498</v>
      </c>
      <c r="D51" s="53" t="s">
        <v>191</v>
      </c>
      <c r="E51" s="40" t="s">
        <v>15</v>
      </c>
      <c r="F51" s="44">
        <v>43.3</v>
      </c>
      <c r="G51" s="41"/>
      <c r="H51" s="133">
        <v>0</v>
      </c>
      <c r="I51" s="79">
        <v>0.2564</v>
      </c>
      <c r="J51" s="57">
        <f>H51+H51*I51</f>
        <v>0</v>
      </c>
      <c r="K51" s="60">
        <f>J51*F51</f>
        <v>0</v>
      </c>
      <c r="O51" s="195">
        <f t="shared" si="8"/>
        <v>0</v>
      </c>
      <c r="P51" s="212" t="s">
        <v>286</v>
      </c>
    </row>
    <row r="52" spans="1:16" s="149" customFormat="1" ht="37.5" customHeight="1">
      <c r="A52" s="50" t="s">
        <v>189</v>
      </c>
      <c r="B52" s="135" t="s">
        <v>211</v>
      </c>
      <c r="C52" s="80" t="s">
        <v>212</v>
      </c>
      <c r="D52" s="81" t="str">
        <f>Composição!B16</f>
        <v>MEIO FIO EXTRUSADO 15 CM BASEX15 CM E 12 CM TOPO (SINAPI 94363 ADAPTADO)</v>
      </c>
      <c r="E52" s="46" t="str">
        <f>Composição!E16</f>
        <v>M</v>
      </c>
      <c r="F52" s="82">
        <v>43.3</v>
      </c>
      <c r="G52" s="15"/>
      <c r="H52" s="144">
        <v>23.83</v>
      </c>
      <c r="I52" s="145">
        <v>0.2564</v>
      </c>
      <c r="J52" s="146">
        <f>H52+H52*I52</f>
        <v>29.940012</v>
      </c>
      <c r="K52" s="147">
        <f>J52*F52</f>
        <v>1296.4025195999998</v>
      </c>
      <c r="L52" s="148"/>
      <c r="O52" s="195">
        <f t="shared" si="8"/>
        <v>0.0022194482729935247</v>
      </c>
      <c r="P52" s="212" t="s">
        <v>286</v>
      </c>
    </row>
    <row r="53" spans="1:16" ht="30" customHeight="1">
      <c r="A53" s="48" t="s">
        <v>193</v>
      </c>
      <c r="B53" s="134" t="s">
        <v>272</v>
      </c>
      <c r="C53" s="43">
        <v>3322</v>
      </c>
      <c r="D53" s="53" t="s">
        <v>196</v>
      </c>
      <c r="E53" s="40" t="s">
        <v>20</v>
      </c>
      <c r="F53" s="44">
        <v>25.4</v>
      </c>
      <c r="G53" s="41"/>
      <c r="H53" s="133">
        <v>0</v>
      </c>
      <c r="I53" s="79">
        <v>0.2564</v>
      </c>
      <c r="J53" s="57">
        <f>H53+H53*I53</f>
        <v>0</v>
      </c>
      <c r="K53" s="60">
        <f>J53*F53</f>
        <v>0</v>
      </c>
      <c r="O53" s="195">
        <f t="shared" si="8"/>
        <v>0</v>
      </c>
      <c r="P53" s="212" t="s">
        <v>286</v>
      </c>
    </row>
    <row r="54" spans="1:16" ht="30" customHeight="1">
      <c r="A54" s="48" t="s">
        <v>194</v>
      </c>
      <c r="B54" s="134" t="s">
        <v>80</v>
      </c>
      <c r="C54" s="43">
        <v>98504</v>
      </c>
      <c r="D54" s="53" t="s">
        <v>195</v>
      </c>
      <c r="E54" s="40" t="s">
        <v>20</v>
      </c>
      <c r="F54" s="44">
        <v>25.4</v>
      </c>
      <c r="G54" s="41"/>
      <c r="H54" s="133">
        <v>0</v>
      </c>
      <c r="I54" s="79">
        <v>0.2564</v>
      </c>
      <c r="J54" s="57">
        <f>H54+H54*I54</f>
        <v>0</v>
      </c>
      <c r="K54" s="60">
        <f>J54*F54</f>
        <v>0</v>
      </c>
      <c r="O54" s="195">
        <f t="shared" si="8"/>
        <v>0</v>
      </c>
      <c r="P54" s="212" t="s">
        <v>286</v>
      </c>
    </row>
    <row r="55" spans="1:12" ht="12.75">
      <c r="A55" s="52"/>
      <c r="B55" s="137"/>
      <c r="C55" s="36"/>
      <c r="D55" s="104" t="s">
        <v>16</v>
      </c>
      <c r="E55" s="51"/>
      <c r="F55" s="61"/>
      <c r="G55" s="62"/>
      <c r="H55" s="118"/>
      <c r="I55" s="63"/>
      <c r="J55" s="64"/>
      <c r="K55" s="209">
        <f>SUM(K38:K54)</f>
        <v>521709.34483299206</v>
      </c>
      <c r="L55" s="130"/>
    </row>
    <row r="56" spans="1:11" ht="4.5" customHeight="1">
      <c r="A56" s="350"/>
      <c r="B56" s="351"/>
      <c r="C56" s="351"/>
      <c r="D56" s="351"/>
      <c r="E56" s="351"/>
      <c r="F56" s="351"/>
      <c r="G56" s="351"/>
      <c r="H56" s="351"/>
      <c r="I56" s="351"/>
      <c r="J56" s="351"/>
      <c r="K56" s="352"/>
    </row>
    <row r="57" spans="1:11" ht="12.75">
      <c r="A57" s="47" t="s">
        <v>68</v>
      </c>
      <c r="B57" s="389" t="s">
        <v>62</v>
      </c>
      <c r="C57" s="390"/>
      <c r="D57" s="390"/>
      <c r="E57" s="390"/>
      <c r="F57" s="390"/>
      <c r="G57" s="390"/>
      <c r="H57" s="390"/>
      <c r="I57" s="390"/>
      <c r="J57" s="390"/>
      <c r="K57" s="391"/>
    </row>
    <row r="58" spans="1:16" ht="54.75" customHeight="1">
      <c r="A58" s="54" t="s">
        <v>54</v>
      </c>
      <c r="B58" s="138" t="s">
        <v>80</v>
      </c>
      <c r="C58" s="43">
        <v>102512</v>
      </c>
      <c r="D58" s="53" t="s">
        <v>169</v>
      </c>
      <c r="E58" s="44" t="s">
        <v>15</v>
      </c>
      <c r="F58" s="44">
        <v>764</v>
      </c>
      <c r="G58" s="41"/>
      <c r="H58" s="117">
        <v>5.63</v>
      </c>
      <c r="I58" s="79">
        <v>0.2564</v>
      </c>
      <c r="J58" s="57">
        <f aca="true" t="shared" si="9" ref="J58:J63">H58+H58*I58</f>
        <v>7.073532</v>
      </c>
      <c r="K58" s="60">
        <f aca="true" t="shared" si="10" ref="K58:K63">J58*F58</f>
        <v>5404.178448000001</v>
      </c>
      <c r="O58" s="195">
        <f aca="true" t="shared" si="11" ref="O58:O63">K58/$K$65</f>
        <v>0.009251983347782464</v>
      </c>
      <c r="P58" s="14" t="s">
        <v>286</v>
      </c>
    </row>
    <row r="59" spans="1:16" ht="54.75" customHeight="1">
      <c r="A59" s="54" t="s">
        <v>166</v>
      </c>
      <c r="B59" s="138" t="s">
        <v>80</v>
      </c>
      <c r="C59" s="43">
        <v>102512</v>
      </c>
      <c r="D59" s="53" t="s">
        <v>170</v>
      </c>
      <c r="E59" s="44" t="s">
        <v>15</v>
      </c>
      <c r="F59" s="44">
        <v>874</v>
      </c>
      <c r="G59" s="41"/>
      <c r="H59" s="117">
        <v>5.63</v>
      </c>
      <c r="I59" s="79">
        <v>0.2564</v>
      </c>
      <c r="J59" s="57">
        <f t="shared" si="9"/>
        <v>7.073532</v>
      </c>
      <c r="K59" s="60">
        <f t="shared" si="10"/>
        <v>6182.266968</v>
      </c>
      <c r="O59" s="195">
        <f t="shared" si="11"/>
        <v>0.01058407519104957</v>
      </c>
      <c r="P59" s="14" t="s">
        <v>286</v>
      </c>
    </row>
    <row r="60" spans="1:16" ht="39.75" customHeight="1">
      <c r="A60" s="54" t="s">
        <v>167</v>
      </c>
      <c r="B60" s="138" t="s">
        <v>199</v>
      </c>
      <c r="C60" s="43">
        <v>5214009</v>
      </c>
      <c r="D60" s="53" t="s">
        <v>187</v>
      </c>
      <c r="E60" s="44" t="s">
        <v>20</v>
      </c>
      <c r="F60" s="44">
        <v>10.27</v>
      </c>
      <c r="G60" s="41"/>
      <c r="H60" s="117">
        <v>112.38</v>
      </c>
      <c r="I60" s="79">
        <v>0.2564</v>
      </c>
      <c r="J60" s="57">
        <f t="shared" si="9"/>
        <v>141.194232</v>
      </c>
      <c r="K60" s="60">
        <f t="shared" si="10"/>
        <v>1450.06476264</v>
      </c>
      <c r="O60" s="195">
        <f t="shared" si="11"/>
        <v>0.0024825188816843097</v>
      </c>
      <c r="P60" s="14" t="s">
        <v>286</v>
      </c>
    </row>
    <row r="61" spans="1:16" ht="49.5" customHeight="1">
      <c r="A61" s="54" t="s">
        <v>171</v>
      </c>
      <c r="B61" s="138" t="s">
        <v>199</v>
      </c>
      <c r="C61" s="43">
        <v>5213446</v>
      </c>
      <c r="D61" s="53" t="s">
        <v>168</v>
      </c>
      <c r="E61" s="44" t="s">
        <v>67</v>
      </c>
      <c r="F61" s="44">
        <v>3</v>
      </c>
      <c r="G61" s="41"/>
      <c r="H61" s="117">
        <v>0</v>
      </c>
      <c r="I61" s="79">
        <v>0.2564</v>
      </c>
      <c r="J61" s="57">
        <f t="shared" si="9"/>
        <v>0</v>
      </c>
      <c r="K61" s="60">
        <f t="shared" si="10"/>
        <v>0</v>
      </c>
      <c r="O61" s="195">
        <f t="shared" si="11"/>
        <v>0</v>
      </c>
      <c r="P61" s="14" t="s">
        <v>286</v>
      </c>
    </row>
    <row r="62" spans="1:16" ht="54.75" customHeight="1">
      <c r="A62" s="54" t="s">
        <v>172</v>
      </c>
      <c r="B62" s="138" t="s">
        <v>199</v>
      </c>
      <c r="C62" s="43">
        <v>5213446</v>
      </c>
      <c r="D62" s="53" t="s">
        <v>188</v>
      </c>
      <c r="E62" s="44" t="s">
        <v>67</v>
      </c>
      <c r="F62" s="44">
        <v>4</v>
      </c>
      <c r="G62" s="41"/>
      <c r="H62" s="117">
        <v>0</v>
      </c>
      <c r="I62" s="79">
        <v>0.2564</v>
      </c>
      <c r="J62" s="57">
        <f t="shared" si="9"/>
        <v>0</v>
      </c>
      <c r="K62" s="60">
        <f t="shared" si="10"/>
        <v>0</v>
      </c>
      <c r="O62" s="195">
        <f t="shared" si="11"/>
        <v>0</v>
      </c>
      <c r="P62" s="14" t="s">
        <v>286</v>
      </c>
    </row>
    <row r="63" spans="1:16" ht="39.75" customHeight="1">
      <c r="A63" s="54" t="s">
        <v>173</v>
      </c>
      <c r="B63" s="138" t="s">
        <v>199</v>
      </c>
      <c r="C63" s="43">
        <v>5213863</v>
      </c>
      <c r="D63" s="127" t="s">
        <v>174</v>
      </c>
      <c r="E63" s="44" t="s">
        <v>67</v>
      </c>
      <c r="F63" s="44">
        <v>7</v>
      </c>
      <c r="G63" s="41"/>
      <c r="H63" s="117">
        <v>0</v>
      </c>
      <c r="I63" s="79">
        <v>0.2564</v>
      </c>
      <c r="J63" s="57">
        <f t="shared" si="9"/>
        <v>0</v>
      </c>
      <c r="K63" s="60">
        <f t="shared" si="10"/>
        <v>0</v>
      </c>
      <c r="L63" s="130"/>
      <c r="O63" s="195">
        <f t="shared" si="11"/>
        <v>0</v>
      </c>
      <c r="P63" s="14" t="s">
        <v>286</v>
      </c>
    </row>
    <row r="64" spans="1:11" ht="12.75">
      <c r="A64" s="55"/>
      <c r="B64" s="139"/>
      <c r="C64" s="37"/>
      <c r="D64" s="104" t="s">
        <v>16</v>
      </c>
      <c r="E64" s="51"/>
      <c r="F64" s="61"/>
      <c r="G64" s="62"/>
      <c r="H64" s="121"/>
      <c r="I64" s="63"/>
      <c r="J64" s="64"/>
      <c r="K64" s="209">
        <f>SUM(K58:K63)</f>
        <v>13036.510178640001</v>
      </c>
    </row>
    <row r="65" spans="1:12" ht="36" customHeight="1" thickBot="1">
      <c r="A65" s="326" t="s">
        <v>11</v>
      </c>
      <c r="B65" s="327"/>
      <c r="C65" s="327"/>
      <c r="D65" s="327"/>
      <c r="E65" s="327"/>
      <c r="F65" s="327"/>
      <c r="G65" s="327"/>
      <c r="H65" s="327"/>
      <c r="I65" s="327"/>
      <c r="J65" s="328"/>
      <c r="K65" s="210">
        <f>K15+K25+K35+K55+K64</f>
        <v>584110.2653189801</v>
      </c>
      <c r="L65" s="132"/>
    </row>
    <row r="66" spans="1:11" ht="20.25" customHeight="1">
      <c r="A66" s="56"/>
      <c r="B66" s="140"/>
      <c r="C66" s="66"/>
      <c r="D66" s="66"/>
      <c r="E66" s="66"/>
      <c r="F66" s="66"/>
      <c r="G66" s="66"/>
      <c r="H66" s="122"/>
      <c r="I66" s="66"/>
      <c r="J66" s="66"/>
      <c r="K66" s="67"/>
    </row>
    <row r="67" spans="1:11" ht="53.25" customHeight="1">
      <c r="A67" s="329"/>
      <c r="B67" s="330"/>
      <c r="C67" s="331"/>
      <c r="D67" s="338" t="s">
        <v>140</v>
      </c>
      <c r="E67" s="331"/>
      <c r="F67" s="340" t="s">
        <v>4</v>
      </c>
      <c r="G67" s="341"/>
      <c r="H67" s="341"/>
      <c r="I67" s="341"/>
      <c r="J67" s="341"/>
      <c r="K67" s="342"/>
    </row>
    <row r="68" spans="1:12" ht="4.5" customHeight="1">
      <c r="A68" s="332"/>
      <c r="B68" s="333"/>
      <c r="C68" s="334"/>
      <c r="D68" s="339"/>
      <c r="E68" s="334"/>
      <c r="F68" s="343"/>
      <c r="G68" s="344"/>
      <c r="H68" s="344"/>
      <c r="I68" s="344"/>
      <c r="J68" s="344"/>
      <c r="K68" s="345"/>
      <c r="L68" s="113"/>
    </row>
    <row r="69" spans="1:15" ht="24.75" customHeight="1">
      <c r="A69" s="332"/>
      <c r="B69" s="333"/>
      <c r="C69" s="334"/>
      <c r="D69" s="339" t="s">
        <v>141</v>
      </c>
      <c r="E69" s="334"/>
      <c r="F69" s="343"/>
      <c r="G69" s="344"/>
      <c r="H69" s="344"/>
      <c r="I69" s="344"/>
      <c r="J69" s="344"/>
      <c r="K69" s="345"/>
      <c r="L69" s="114"/>
      <c r="M69" s="1"/>
      <c r="N69" s="1"/>
      <c r="O69" s="196"/>
    </row>
    <row r="70" spans="1:11" ht="24.75" customHeight="1" thickBot="1">
      <c r="A70" s="335"/>
      <c r="B70" s="336"/>
      <c r="C70" s="337"/>
      <c r="D70" s="349"/>
      <c r="E70" s="337"/>
      <c r="F70" s="346"/>
      <c r="G70" s="347"/>
      <c r="H70" s="347"/>
      <c r="I70" s="347"/>
      <c r="J70" s="347"/>
      <c r="K70" s="348"/>
    </row>
    <row r="71" spans="1:15" s="1" customFormat="1" ht="12.75">
      <c r="A71"/>
      <c r="B71"/>
      <c r="C71"/>
      <c r="D71" s="105"/>
      <c r="E71"/>
      <c r="F71"/>
      <c r="G71"/>
      <c r="H71" s="123"/>
      <c r="I71"/>
      <c r="J71" s="14"/>
      <c r="K71" s="14"/>
      <c r="L71" s="110"/>
      <c r="M71"/>
      <c r="N71"/>
      <c r="O71" s="195"/>
    </row>
    <row r="72" spans="1:2" ht="12.75" customHeight="1">
      <c r="A72" s="11"/>
      <c r="B72" s="11"/>
    </row>
    <row r="73" spans="1:11" ht="12.75">
      <c r="A73" s="45"/>
      <c r="B73" s="45"/>
      <c r="C73" s="45"/>
      <c r="D73" s="45"/>
      <c r="E73" s="45"/>
      <c r="F73" s="45"/>
      <c r="G73" s="45"/>
      <c r="H73" s="124"/>
      <c r="I73" s="45"/>
      <c r="J73" s="45"/>
      <c r="K73" s="45"/>
    </row>
    <row r="74" spans="1:11" ht="12.75">
      <c r="A74" s="45"/>
      <c r="B74" s="45"/>
      <c r="C74" s="45"/>
      <c r="D74" s="45"/>
      <c r="E74" s="45"/>
      <c r="F74" s="45"/>
      <c r="G74" s="45"/>
      <c r="H74" s="124"/>
      <c r="I74" s="45"/>
      <c r="J74" s="45"/>
      <c r="K74" s="45"/>
    </row>
    <row r="75" spans="1:11" ht="12.75">
      <c r="A75" s="45"/>
      <c r="B75" s="45"/>
      <c r="C75" s="45"/>
      <c r="D75" s="45"/>
      <c r="E75" s="45"/>
      <c r="F75" s="45"/>
      <c r="G75" s="45"/>
      <c r="H75" s="124"/>
      <c r="I75" s="45"/>
      <c r="J75" s="45"/>
      <c r="K75" s="45"/>
    </row>
    <row r="76" spans="1:11" ht="12.75">
      <c r="A76" s="45"/>
      <c r="B76" s="45"/>
      <c r="C76" s="45"/>
      <c r="D76" s="45"/>
      <c r="E76" s="45"/>
      <c r="F76" s="45"/>
      <c r="G76" s="45"/>
      <c r="H76" s="124"/>
      <c r="I76" s="45"/>
      <c r="J76" s="45"/>
      <c r="K76" s="45"/>
    </row>
    <row r="77" spans="1:11" ht="12.75">
      <c r="A77" s="3"/>
      <c r="B77" s="3"/>
      <c r="C77" s="3"/>
      <c r="D77" s="3"/>
      <c r="E77" s="3"/>
      <c r="F77" s="3"/>
      <c r="G77" s="3"/>
      <c r="H77" s="125"/>
      <c r="I77" s="3"/>
      <c r="J77" s="3"/>
      <c r="K77" s="3"/>
    </row>
    <row r="78" spans="1:11" ht="12.75" customHeight="1">
      <c r="A78" s="45"/>
      <c r="B78" s="45"/>
      <c r="C78" s="45"/>
      <c r="D78" s="45"/>
      <c r="E78" s="45"/>
      <c r="F78" s="45"/>
      <c r="G78" s="45"/>
      <c r="H78" s="124"/>
      <c r="I78" s="45"/>
      <c r="J78" s="45"/>
      <c r="K78" s="45"/>
    </row>
    <row r="79" spans="1:11" ht="12.75">
      <c r="A79" s="45"/>
      <c r="B79" s="45"/>
      <c r="C79" s="45"/>
      <c r="D79" s="45"/>
      <c r="E79" s="45"/>
      <c r="F79" s="45"/>
      <c r="G79" s="45"/>
      <c r="H79" s="124"/>
      <c r="I79" s="45"/>
      <c r="J79" s="45"/>
      <c r="K79" s="45"/>
    </row>
    <row r="80" spans="1:11" ht="12.75">
      <c r="A80" s="10"/>
      <c r="B80" s="10"/>
      <c r="C80" s="10"/>
      <c r="D80" s="10"/>
      <c r="E80" s="10"/>
      <c r="F80" s="10"/>
      <c r="G80" s="10"/>
      <c r="H80" s="126"/>
      <c r="I80" s="10"/>
      <c r="J80" s="10"/>
      <c r="K80" s="10"/>
    </row>
    <row r="81" spans="1:11" ht="12.75">
      <c r="A81" s="321"/>
      <c r="B81" s="321"/>
      <c r="C81" s="321"/>
      <c r="D81" s="321"/>
      <c r="E81" s="321"/>
      <c r="F81" s="321"/>
      <c r="G81" s="321"/>
      <c r="H81" s="321"/>
      <c r="I81" s="321"/>
      <c r="J81" s="321"/>
      <c r="K81" s="321"/>
    </row>
    <row r="82" ht="15" customHeight="1"/>
    <row r="83" ht="12.75" customHeight="1"/>
    <row r="85" ht="4.5" customHeight="1"/>
  </sheetData>
  <sheetProtection/>
  <mergeCells count="36">
    <mergeCell ref="B12:K12"/>
    <mergeCell ref="B17:K17"/>
    <mergeCell ref="B27:K27"/>
    <mergeCell ref="B37:K37"/>
    <mergeCell ref="B57:K57"/>
    <mergeCell ref="A8:D8"/>
    <mergeCell ref="E8:H8"/>
    <mergeCell ref="I8:K8"/>
    <mergeCell ref="A36:K36"/>
    <mergeCell ref="A26:K26"/>
    <mergeCell ref="A16:K16"/>
    <mergeCell ref="A10:A11"/>
    <mergeCell ref="C10:C11"/>
    <mergeCell ref="K1:K2"/>
    <mergeCell ref="A3:I4"/>
    <mergeCell ref="A5:C6"/>
    <mergeCell ref="D5:I6"/>
    <mergeCell ref="A7:C7"/>
    <mergeCell ref="D7:K7"/>
    <mergeCell ref="A1:J2"/>
    <mergeCell ref="D10:D11"/>
    <mergeCell ref="E10:E11"/>
    <mergeCell ref="F10:F11"/>
    <mergeCell ref="G10:G11"/>
    <mergeCell ref="H10:H11"/>
    <mergeCell ref="B10:B11"/>
    <mergeCell ref="A81:K81"/>
    <mergeCell ref="I10:I11"/>
    <mergeCell ref="J10:J11"/>
    <mergeCell ref="K10:K11"/>
    <mergeCell ref="A65:J65"/>
    <mergeCell ref="A67:C70"/>
    <mergeCell ref="D67:E68"/>
    <mergeCell ref="F67:K70"/>
    <mergeCell ref="D69:E70"/>
    <mergeCell ref="A56:K56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A1">
      <selection activeCell="A1" sqref="A1:P23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6.281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452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4" t="s">
        <v>21</v>
      </c>
      <c r="P1" s="455"/>
      <c r="S1" s="458"/>
      <c r="T1" s="458"/>
      <c r="U1" s="458"/>
      <c r="V1" s="458"/>
      <c r="W1" s="458"/>
      <c r="X1" s="458"/>
      <c r="Y1" s="459"/>
      <c r="Z1" s="16"/>
      <c r="AA1" s="16"/>
      <c r="AB1" s="16"/>
    </row>
    <row r="2" spans="1:28" ht="20.25" customHeight="1">
      <c r="A2" s="460" t="s">
        <v>56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6"/>
      <c r="P2" s="457"/>
      <c r="S2" s="458"/>
      <c r="T2" s="458"/>
      <c r="U2" s="458"/>
      <c r="V2" s="458"/>
      <c r="W2" s="458"/>
      <c r="X2" s="458"/>
      <c r="Y2" s="459"/>
      <c r="Z2" s="16"/>
      <c r="AA2" s="16"/>
      <c r="AB2" s="16"/>
    </row>
    <row r="3" spans="1:28" ht="19.5" customHeight="1">
      <c r="A3" s="428" t="s">
        <v>139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30"/>
      <c r="O3" s="431" t="s">
        <v>22</v>
      </c>
      <c r="P3" s="432"/>
      <c r="S3" s="368"/>
      <c r="T3" s="368"/>
      <c r="U3" s="368"/>
      <c r="V3" s="368"/>
      <c r="W3" s="368"/>
      <c r="X3" s="368"/>
      <c r="Y3" s="17"/>
      <c r="Z3" s="16"/>
      <c r="AA3" s="16"/>
      <c r="AB3" s="16"/>
    </row>
    <row r="4" spans="1:28" ht="19.5" customHeight="1">
      <c r="A4" s="364" t="s">
        <v>23</v>
      </c>
      <c r="B4" s="365"/>
      <c r="C4" s="365"/>
      <c r="D4" s="437" t="s">
        <v>71</v>
      </c>
      <c r="E4" s="438"/>
      <c r="F4" s="438"/>
      <c r="G4" s="438"/>
      <c r="H4" s="438"/>
      <c r="I4" s="438"/>
      <c r="J4" s="438"/>
      <c r="K4" s="438"/>
      <c r="L4" s="438"/>
      <c r="M4" s="438"/>
      <c r="N4" s="439"/>
      <c r="O4" s="433"/>
      <c r="P4" s="434"/>
      <c r="S4" s="9"/>
      <c r="T4" s="9"/>
      <c r="U4" s="9"/>
      <c r="V4" s="9"/>
      <c r="W4" s="9"/>
      <c r="X4" s="9"/>
      <c r="Y4" s="17"/>
      <c r="Z4" s="16"/>
      <c r="AA4" s="16"/>
      <c r="AB4" s="16"/>
    </row>
    <row r="5" spans="1:28" ht="9.75" customHeight="1">
      <c r="A5" s="370"/>
      <c r="B5" s="371"/>
      <c r="C5" s="371"/>
      <c r="D5" s="440"/>
      <c r="E5" s="441"/>
      <c r="F5" s="441"/>
      <c r="G5" s="441"/>
      <c r="H5" s="441"/>
      <c r="I5" s="441"/>
      <c r="J5" s="441"/>
      <c r="K5" s="441"/>
      <c r="L5" s="441"/>
      <c r="M5" s="441"/>
      <c r="N5" s="442"/>
      <c r="O5" s="435"/>
      <c r="P5" s="436"/>
      <c r="S5" s="9"/>
      <c r="T5" s="9"/>
      <c r="U5" s="9"/>
      <c r="V5" s="9"/>
      <c r="W5" s="9"/>
      <c r="X5" s="9"/>
      <c r="Y5" s="17"/>
      <c r="Z5" s="16"/>
      <c r="AA5" s="16"/>
      <c r="AB5" s="16"/>
    </row>
    <row r="6" spans="1:28" ht="19.5" customHeight="1">
      <c r="A6" s="376" t="s">
        <v>8</v>
      </c>
      <c r="B6" s="377"/>
      <c r="C6" s="377"/>
      <c r="D6" s="443" t="s">
        <v>160</v>
      </c>
      <c r="E6" s="444"/>
      <c r="F6" s="444"/>
      <c r="G6" s="444"/>
      <c r="H6" s="444"/>
      <c r="I6" s="444"/>
      <c r="J6" s="444"/>
      <c r="K6" s="444"/>
      <c r="L6" s="444"/>
      <c r="M6" s="444"/>
      <c r="N6" s="445"/>
      <c r="O6" s="446">
        <v>45460</v>
      </c>
      <c r="P6" s="447"/>
      <c r="S6" s="9"/>
      <c r="T6" s="9"/>
      <c r="U6" s="9"/>
      <c r="V6" s="9"/>
      <c r="W6" s="9"/>
      <c r="X6" s="9"/>
      <c r="Y6" s="17"/>
      <c r="Z6" s="16"/>
      <c r="AA6" s="16"/>
      <c r="AB6" s="16"/>
    </row>
    <row r="7" spans="1:28" ht="24.75" customHeight="1">
      <c r="A7" s="450" t="s">
        <v>161</v>
      </c>
      <c r="B7" s="451"/>
      <c r="C7" s="451"/>
      <c r="D7" s="451"/>
      <c r="E7" s="451"/>
      <c r="F7" s="451"/>
      <c r="G7" s="451"/>
      <c r="H7" s="450" t="s">
        <v>24</v>
      </c>
      <c r="I7" s="451"/>
      <c r="J7" s="451"/>
      <c r="K7" s="451"/>
      <c r="L7" s="451"/>
      <c r="M7" s="451"/>
      <c r="N7" s="451"/>
      <c r="O7" s="448"/>
      <c r="P7" s="449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4.25" customHeight="1">
      <c r="A8" s="422" t="s">
        <v>0</v>
      </c>
      <c r="B8" s="423" t="s">
        <v>1</v>
      </c>
      <c r="C8" s="423"/>
      <c r="D8" s="423"/>
      <c r="E8" s="411" t="s">
        <v>25</v>
      </c>
      <c r="F8" s="411"/>
      <c r="G8" s="411"/>
      <c r="H8" s="411"/>
      <c r="I8" s="411"/>
      <c r="J8" s="411"/>
      <c r="K8" s="411"/>
      <c r="L8" s="411"/>
      <c r="M8" s="411"/>
      <c r="N8" s="411"/>
      <c r="O8" s="424"/>
      <c r="P8" s="425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4.25" customHeight="1">
      <c r="A9" s="422"/>
      <c r="B9" s="423"/>
      <c r="C9" s="423"/>
      <c r="D9" s="423"/>
      <c r="E9" s="426" t="s">
        <v>26</v>
      </c>
      <c r="F9" s="427"/>
      <c r="G9" s="426" t="s">
        <v>27</v>
      </c>
      <c r="H9" s="427"/>
      <c r="I9" s="426" t="s">
        <v>28</v>
      </c>
      <c r="J9" s="427"/>
      <c r="K9" s="426" t="s">
        <v>29</v>
      </c>
      <c r="L9" s="427"/>
      <c r="M9" s="426" t="s">
        <v>30</v>
      </c>
      <c r="N9" s="427"/>
      <c r="O9" s="424"/>
      <c r="P9" s="425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2.75">
      <c r="A10" s="422"/>
      <c r="B10" s="423"/>
      <c r="C10" s="423"/>
      <c r="D10" s="423"/>
      <c r="E10" s="18" t="s">
        <v>31</v>
      </c>
      <c r="F10" s="18" t="s">
        <v>32</v>
      </c>
      <c r="G10" s="18" t="s">
        <v>31</v>
      </c>
      <c r="H10" s="18" t="s">
        <v>32</v>
      </c>
      <c r="I10" s="18" t="s">
        <v>31</v>
      </c>
      <c r="J10" s="18" t="s">
        <v>32</v>
      </c>
      <c r="K10" s="18" t="s">
        <v>31</v>
      </c>
      <c r="L10" s="18" t="s">
        <v>32</v>
      </c>
      <c r="M10" s="18" t="s">
        <v>31</v>
      </c>
      <c r="N10" s="18" t="s">
        <v>32</v>
      </c>
      <c r="O10" s="18" t="s">
        <v>31</v>
      </c>
      <c r="P10" s="19" t="s">
        <v>32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6.5" customHeight="1">
      <c r="A11" s="38" t="str">
        <f>'[1]A1'!$A$12</f>
        <v>1.0</v>
      </c>
      <c r="B11" s="408" t="str">
        <f>Jaguatirica!B12</f>
        <v>SERVIÇOS INICIAIS  </v>
      </c>
      <c r="C11" s="409"/>
      <c r="D11" s="409"/>
      <c r="E11" s="21">
        <f>F11*O11</f>
        <v>1116.3151999999998</v>
      </c>
      <c r="F11" s="22">
        <v>1</v>
      </c>
      <c r="G11" s="21"/>
      <c r="H11" s="22"/>
      <c r="I11" s="21"/>
      <c r="J11" s="22"/>
      <c r="K11" s="21"/>
      <c r="L11" s="22"/>
      <c r="M11" s="21"/>
      <c r="N11" s="22"/>
      <c r="O11" s="23">
        <f>Jaguatirica!K15</f>
        <v>1116.3151999999998</v>
      </c>
      <c r="P11" s="24">
        <f aca="true" t="shared" si="0" ref="P11:P17">F11+H11+J11+L11+N11</f>
        <v>1</v>
      </c>
      <c r="Q11" s="35"/>
      <c r="R11" s="35"/>
      <c r="S11" s="35"/>
      <c r="T11" s="35"/>
      <c r="U11" s="35"/>
      <c r="V11" s="16"/>
      <c r="W11" s="16"/>
      <c r="X11" s="16"/>
      <c r="Y11" s="16"/>
      <c r="Z11" s="16"/>
      <c r="AA11" s="16"/>
      <c r="AB11" s="16"/>
    </row>
    <row r="12" spans="1:28" ht="13.5" customHeight="1">
      <c r="A12" s="38" t="s">
        <v>17</v>
      </c>
      <c r="B12" s="408" t="str">
        <f>Jaguatirica!B17</f>
        <v>ESCAVAÇÕES E TERRAPLENAGEM</v>
      </c>
      <c r="C12" s="409"/>
      <c r="D12" s="409"/>
      <c r="E12" s="21">
        <f>F12*O12</f>
        <v>19048.28241024</v>
      </c>
      <c r="F12" s="22">
        <v>0.8</v>
      </c>
      <c r="G12" s="21">
        <f>H12*O12</f>
        <v>4762.07060256</v>
      </c>
      <c r="H12" s="22">
        <v>0.2</v>
      </c>
      <c r="I12" s="21"/>
      <c r="J12" s="22"/>
      <c r="K12" s="21"/>
      <c r="L12" s="22"/>
      <c r="M12" s="21"/>
      <c r="N12" s="22"/>
      <c r="O12" s="23">
        <f>Jaguatirica!K25</f>
        <v>23810.353012800002</v>
      </c>
      <c r="P12" s="24">
        <f t="shared" si="0"/>
        <v>1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13.5" customHeight="1">
      <c r="A13" s="38" t="s">
        <v>40</v>
      </c>
      <c r="B13" s="408" t="str">
        <f>Jaguatirica!B27</f>
        <v>DRENAGEM PLUVIAL</v>
      </c>
      <c r="C13" s="409"/>
      <c r="D13" s="409"/>
      <c r="E13" s="21">
        <f>F13*O13</f>
        <v>19550.193675638402</v>
      </c>
      <c r="F13" s="22">
        <v>0.8</v>
      </c>
      <c r="G13" s="21">
        <f>H13*O13</f>
        <v>4887.5484189096005</v>
      </c>
      <c r="H13" s="22">
        <v>0.2</v>
      </c>
      <c r="I13" s="21"/>
      <c r="J13" s="22"/>
      <c r="K13" s="21"/>
      <c r="L13" s="22"/>
      <c r="M13" s="21"/>
      <c r="N13" s="22"/>
      <c r="O13" s="23">
        <f>Jaguatirica!K35</f>
        <v>24437.742094548</v>
      </c>
      <c r="P13" s="24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3.5" customHeight="1">
      <c r="A14" s="38" t="s">
        <v>18</v>
      </c>
      <c r="B14" s="408" t="str">
        <f>Jaguatirica!B37</f>
        <v>PAVIMENTAÇÃO SOBRE LEITO NATURAL</v>
      </c>
      <c r="C14" s="409"/>
      <c r="D14" s="409"/>
      <c r="E14" s="21"/>
      <c r="F14" s="22"/>
      <c r="G14" s="21">
        <f>H14*O14</f>
        <v>104341.86896659841</v>
      </c>
      <c r="H14" s="22">
        <v>0.2</v>
      </c>
      <c r="I14" s="21">
        <f>J14*O14</f>
        <v>313025.60689979524</v>
      </c>
      <c r="J14" s="22">
        <v>0.6</v>
      </c>
      <c r="K14" s="21">
        <f>L14*O14</f>
        <v>104341.86896659841</v>
      </c>
      <c r="L14" s="22">
        <v>0.2</v>
      </c>
      <c r="M14" s="21"/>
      <c r="N14" s="22"/>
      <c r="O14" s="23">
        <f>Jaguatirica!K55</f>
        <v>521709.34483299206</v>
      </c>
      <c r="P14" s="24">
        <f t="shared" si="0"/>
        <v>1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16" ht="13.5" customHeight="1">
      <c r="A15" s="38" t="s">
        <v>68</v>
      </c>
      <c r="B15" s="408" t="str">
        <f>Jaguatirica!B57</f>
        <v>SINALIZAÇÃO</v>
      </c>
      <c r="C15" s="409"/>
      <c r="D15" s="409"/>
      <c r="E15" s="21"/>
      <c r="F15" s="22"/>
      <c r="G15" s="21"/>
      <c r="H15" s="22"/>
      <c r="I15" s="21"/>
      <c r="J15" s="22"/>
      <c r="K15" s="21">
        <f>L15*O15</f>
        <v>13036.510178640001</v>
      </c>
      <c r="L15" s="22">
        <v>1</v>
      </c>
      <c r="M15" s="21"/>
      <c r="N15" s="22"/>
      <c r="O15" s="23">
        <f>Jaguatirica!K64</f>
        <v>13036.510178640001</v>
      </c>
      <c r="P15" s="24">
        <f t="shared" si="0"/>
        <v>1</v>
      </c>
    </row>
    <row r="16" spans="1:16" ht="17.25" customHeight="1">
      <c r="A16" s="38"/>
      <c r="B16" s="408"/>
      <c r="C16" s="409"/>
      <c r="D16" s="409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3"/>
      <c r="P16" s="24"/>
    </row>
    <row r="17" spans="1:16" ht="13.5" customHeight="1">
      <c r="A17" s="38"/>
      <c r="B17" s="408"/>
      <c r="C17" s="409"/>
      <c r="D17" s="409"/>
      <c r="E17" s="21"/>
      <c r="F17" s="22"/>
      <c r="G17" s="21"/>
      <c r="H17" s="22"/>
      <c r="I17" s="21"/>
      <c r="J17" s="22"/>
      <c r="K17" s="21"/>
      <c r="L17" s="22"/>
      <c r="M17" s="21"/>
      <c r="N17" s="22"/>
      <c r="O17" s="23"/>
      <c r="P17" s="24">
        <f t="shared" si="0"/>
        <v>0</v>
      </c>
    </row>
    <row r="18" spans="1:16" ht="13.5" customHeight="1">
      <c r="A18" s="38"/>
      <c r="B18" s="408"/>
      <c r="C18" s="409"/>
      <c r="D18" s="409"/>
      <c r="E18" s="21"/>
      <c r="F18" s="22"/>
      <c r="G18" s="21"/>
      <c r="H18" s="39"/>
      <c r="I18" s="21"/>
      <c r="J18" s="26"/>
      <c r="K18" s="21"/>
      <c r="L18" s="26"/>
      <c r="M18" s="21"/>
      <c r="N18" s="26"/>
      <c r="O18" s="23"/>
      <c r="P18" s="24"/>
    </row>
    <row r="19" spans="1:16" ht="13.5" customHeight="1">
      <c r="A19" s="38"/>
      <c r="B19" s="408"/>
      <c r="C19" s="409"/>
      <c r="D19" s="409"/>
      <c r="E19" s="21"/>
      <c r="F19" s="22"/>
      <c r="G19" s="21"/>
      <c r="H19" s="39"/>
      <c r="I19" s="21"/>
      <c r="J19" s="39"/>
      <c r="K19" s="21"/>
      <c r="L19" s="26"/>
      <c r="M19" s="21"/>
      <c r="N19" s="26"/>
      <c r="O19" s="23"/>
      <c r="P19" s="24"/>
    </row>
    <row r="20" spans="1:16" ht="13.5" customHeight="1">
      <c r="A20" s="20"/>
      <c r="B20" s="408"/>
      <c r="C20" s="409"/>
      <c r="D20" s="409"/>
      <c r="E20" s="21"/>
      <c r="F20" s="25"/>
      <c r="G20" s="21"/>
      <c r="H20" s="25"/>
      <c r="I20" s="21"/>
      <c r="J20" s="26"/>
      <c r="K20" s="21"/>
      <c r="L20" s="26"/>
      <c r="M20" s="21"/>
      <c r="N20" s="26"/>
      <c r="O20" s="23">
        <f>SUM(O11:O19)</f>
        <v>584110.2653189801</v>
      </c>
      <c r="P20" s="24"/>
    </row>
    <row r="21" spans="1:16" s="30" customFormat="1" ht="13.5" customHeight="1">
      <c r="A21" s="410" t="s">
        <v>33</v>
      </c>
      <c r="B21" s="411"/>
      <c r="C21" s="411"/>
      <c r="D21" s="411"/>
      <c r="E21" s="27">
        <f>ROUND(SUM(E11:E20),2)</f>
        <v>39714.79</v>
      </c>
      <c r="F21" s="28">
        <f>IF($O$21&lt;&gt;0,E21*100/$O$21,0)</f>
        <v>6.799193926174247</v>
      </c>
      <c r="G21" s="27">
        <f>ROUND(SUM(G11:G20),2)</f>
        <v>113991.49</v>
      </c>
      <c r="H21" s="28">
        <f>IF($O$21&lt;&gt;0,G21*100/$O$21,0)</f>
        <v>19.515405883892438</v>
      </c>
      <c r="I21" s="27">
        <f>ROUND(SUM(I11:I20),2)</f>
        <v>313025.61</v>
      </c>
      <c r="J21" s="28">
        <f>IF($O$21&lt;&gt;0,I21*100/$O$21,0)</f>
        <v>53.59015687226317</v>
      </c>
      <c r="K21" s="27">
        <f>ROUND(SUM(K11:K20),2)</f>
        <v>117378.38</v>
      </c>
      <c r="L21" s="28">
        <f>IF($O$21&lt;&gt;0,K21*100/$O$21,0)</f>
        <v>20.095243317670135</v>
      </c>
      <c r="M21" s="27"/>
      <c r="N21" s="28"/>
      <c r="O21" s="23">
        <f>E21+G21+I21+K21+M21</f>
        <v>584110.27</v>
      </c>
      <c r="P21" s="29">
        <f>F21+H21+J21+L21+N21</f>
        <v>100</v>
      </c>
    </row>
    <row r="22" spans="1:16" s="30" customFormat="1" ht="13.5" customHeight="1" thickBot="1">
      <c r="A22" s="412" t="s">
        <v>34</v>
      </c>
      <c r="B22" s="413"/>
      <c r="C22" s="413"/>
      <c r="D22" s="413"/>
      <c r="E22" s="31">
        <f>E21</f>
        <v>39714.79</v>
      </c>
      <c r="F22" s="32">
        <f>F21</f>
        <v>6.799193926174247</v>
      </c>
      <c r="G22" s="31">
        <f>E22+G21</f>
        <v>153706.28</v>
      </c>
      <c r="H22" s="32">
        <f>F22+H21</f>
        <v>26.314599810066685</v>
      </c>
      <c r="I22" s="31">
        <f>I21+G22</f>
        <v>466731.89</v>
      </c>
      <c r="J22" s="32">
        <f>H22+J21</f>
        <v>79.90475668232986</v>
      </c>
      <c r="K22" s="31">
        <f>K21+I22</f>
        <v>584110.27</v>
      </c>
      <c r="L22" s="32">
        <f>J22+L21</f>
        <v>100</v>
      </c>
      <c r="M22" s="31"/>
      <c r="N22" s="32"/>
      <c r="O22" s="33"/>
      <c r="P22" s="34"/>
    </row>
    <row r="23" spans="1:16" ht="57" customHeight="1" thickBot="1">
      <c r="A23" s="414" t="s">
        <v>288</v>
      </c>
      <c r="B23" s="415"/>
      <c r="C23" s="415"/>
      <c r="D23" s="416"/>
      <c r="E23" s="417" t="s">
        <v>60</v>
      </c>
      <c r="F23" s="418"/>
      <c r="G23" s="418"/>
      <c r="H23" s="418"/>
      <c r="I23" s="418"/>
      <c r="J23" s="418"/>
      <c r="K23" s="418"/>
      <c r="L23" s="418"/>
      <c r="M23" s="419"/>
      <c r="N23" s="417" t="s">
        <v>35</v>
      </c>
      <c r="O23" s="418"/>
      <c r="P23" s="420"/>
    </row>
    <row r="24" spans="1:16" ht="16.5" customHeight="1">
      <c r="A24" s="421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</row>
    <row r="25" spans="1:16" ht="16.5" customHeight="1">
      <c r="A25" s="406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</row>
    <row r="26" spans="1:16" ht="6.75" customHeight="1">
      <c r="A26" s="407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</row>
    <row r="27" spans="1:16" ht="12.75">
      <c r="A27" s="406"/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</row>
  </sheetData>
  <sheetProtection/>
  <mergeCells count="44">
    <mergeCell ref="A1:N1"/>
    <mergeCell ref="O1:P2"/>
    <mergeCell ref="S1:X1"/>
    <mergeCell ref="Y1:Y2"/>
    <mergeCell ref="A2:N2"/>
    <mergeCell ref="S2:X2"/>
    <mergeCell ref="A3:N3"/>
    <mergeCell ref="O3:P5"/>
    <mergeCell ref="S3:X3"/>
    <mergeCell ref="A4:C5"/>
    <mergeCell ref="D4:N5"/>
    <mergeCell ref="A6:C6"/>
    <mergeCell ref="D6:N6"/>
    <mergeCell ref="O6:P7"/>
    <mergeCell ref="A7:G7"/>
    <mergeCell ref="H7:N7"/>
    <mergeCell ref="A8:A10"/>
    <mergeCell ref="B8:D10"/>
    <mergeCell ref="E8:N8"/>
    <mergeCell ref="O8:P9"/>
    <mergeCell ref="E9:F9"/>
    <mergeCell ref="G9:H9"/>
    <mergeCell ref="I9:J9"/>
    <mergeCell ref="K9:L9"/>
    <mergeCell ref="M9:N9"/>
    <mergeCell ref="B17:D17"/>
    <mergeCell ref="B18:D18"/>
    <mergeCell ref="B19:D19"/>
    <mergeCell ref="B20:D20"/>
    <mergeCell ref="B11:D11"/>
    <mergeCell ref="B12:D12"/>
    <mergeCell ref="B14:D14"/>
    <mergeCell ref="B15:D15"/>
    <mergeCell ref="B16:D16"/>
    <mergeCell ref="A25:P25"/>
    <mergeCell ref="A26:P26"/>
    <mergeCell ref="A27:P27"/>
    <mergeCell ref="B13:D13"/>
    <mergeCell ref="A21:D21"/>
    <mergeCell ref="A22:D22"/>
    <mergeCell ref="A23:D23"/>
    <mergeCell ref="E23:M23"/>
    <mergeCell ref="N23:P23"/>
    <mergeCell ref="A24:P24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C29" sqref="C29"/>
    </sheetView>
  </sheetViews>
  <sheetFormatPr defaultColWidth="9.140625" defaultRowHeight="12.75"/>
  <cols>
    <col min="2" max="2" width="13.421875" style="75" customWidth="1"/>
    <col min="3" max="3" width="62.8515625" style="0" customWidth="1"/>
    <col min="4" max="4" width="12.7109375" style="0" customWidth="1"/>
  </cols>
  <sheetData>
    <row r="1" spans="2:4" ht="13.5" thickBot="1">
      <c r="B1" s="461" t="s">
        <v>82</v>
      </c>
      <c r="C1" s="462"/>
      <c r="D1" s="463"/>
    </row>
    <row r="2" spans="2:4" ht="12.75">
      <c r="B2" s="76"/>
      <c r="C2" s="76"/>
      <c r="D2" s="77"/>
    </row>
    <row r="3" spans="2:7" ht="13.5">
      <c r="B3"/>
      <c r="E3" s="71"/>
      <c r="F3" s="72"/>
      <c r="G3" s="72"/>
    </row>
    <row r="4" spans="2:4" ht="13.5">
      <c r="B4" s="71"/>
      <c r="C4" s="72"/>
      <c r="D4" s="72"/>
    </row>
    <row r="5" spans="2:4" ht="13.5">
      <c r="B5" s="71"/>
      <c r="C5" s="72"/>
      <c r="D5" s="72"/>
    </row>
    <row r="6" spans="2:4" ht="32.25" customHeight="1">
      <c r="B6" s="71"/>
      <c r="C6" s="72"/>
      <c r="D6" s="72"/>
    </row>
    <row r="7" spans="2:4" ht="25.5" customHeight="1">
      <c r="B7" s="71"/>
      <c r="C7" s="72"/>
      <c r="D7" s="72"/>
    </row>
    <row r="8" spans="2:4" ht="13.5">
      <c r="B8" s="71"/>
      <c r="C8" s="72"/>
      <c r="D8" s="72"/>
    </row>
    <row r="9" spans="2:4" ht="13.5">
      <c r="B9" s="71"/>
      <c r="C9" s="72"/>
      <c r="D9" s="72"/>
    </row>
    <row r="10" spans="2:4" ht="13.5">
      <c r="B10" s="71"/>
      <c r="C10" s="72"/>
      <c r="D10" s="72"/>
    </row>
    <row r="11" spans="2:4" ht="13.5">
      <c r="B11" s="71"/>
      <c r="C11" s="72"/>
      <c r="D11" s="72"/>
    </row>
    <row r="12" spans="2:4" ht="21.75" customHeight="1">
      <c r="B12" s="71"/>
      <c r="C12" s="72"/>
      <c r="D12" s="72"/>
    </row>
    <row r="13" spans="2:7" ht="13.5">
      <c r="B13" s="74"/>
      <c r="C13" s="73"/>
      <c r="D13" s="71"/>
      <c r="E13" s="71"/>
      <c r="F13" s="72"/>
      <c r="G13" s="72"/>
    </row>
    <row r="14" spans="2:7" ht="13.5">
      <c r="B14" s="74"/>
      <c r="C14" s="73"/>
      <c r="D14" s="71"/>
      <c r="E14" s="71"/>
      <c r="F14" s="72"/>
      <c r="G14" s="72"/>
    </row>
    <row r="15" spans="2:7" ht="13.5">
      <c r="B15" s="74"/>
      <c r="C15" s="73"/>
      <c r="D15" s="71"/>
      <c r="E15" s="71"/>
      <c r="F15" s="72"/>
      <c r="G15" s="72"/>
    </row>
    <row r="16" spans="2:7" ht="13.5">
      <c r="B16" s="74"/>
      <c r="C16" s="73"/>
      <c r="D16" s="71"/>
      <c r="E16" s="71"/>
      <c r="F16" s="72"/>
      <c r="G16" s="72"/>
    </row>
    <row r="17" spans="2:7" ht="13.5">
      <c r="B17" s="74"/>
      <c r="C17" s="73"/>
      <c r="D17" s="71"/>
      <c r="E17" s="71"/>
      <c r="F17" s="72"/>
      <c r="G17" s="72"/>
    </row>
    <row r="18" spans="2:7" ht="13.5">
      <c r="B18" s="74"/>
      <c r="C18" s="73"/>
      <c r="D18" s="71"/>
      <c r="E18" s="71"/>
      <c r="F18" s="72"/>
      <c r="G18" s="72"/>
    </row>
    <row r="19" spans="2:7" ht="13.5">
      <c r="B19" s="74"/>
      <c r="C19" s="73"/>
      <c r="D19" s="71"/>
      <c r="E19" s="71"/>
      <c r="F19" s="72"/>
      <c r="G19" s="72"/>
    </row>
    <row r="20" spans="2:7" ht="13.5">
      <c r="B20" s="74"/>
      <c r="C20" s="73"/>
      <c r="D20" s="71"/>
      <c r="E20" s="71"/>
      <c r="F20" s="72"/>
      <c r="G20" s="72"/>
    </row>
    <row r="21" spans="2:7" ht="13.5">
      <c r="B21" s="74"/>
      <c r="C21" s="73"/>
      <c r="D21" s="71"/>
      <c r="E21" s="71"/>
      <c r="F21" s="72"/>
      <c r="G21" s="72"/>
    </row>
    <row r="22" spans="2:7" ht="13.5">
      <c r="B22" s="71"/>
      <c r="C22" s="71"/>
      <c r="D22" s="71"/>
      <c r="E22" s="71"/>
      <c r="F22" s="72"/>
      <c r="G22" s="72"/>
    </row>
  </sheetData>
  <sheetProtection/>
  <mergeCells count="1">
    <mergeCell ref="B1:D1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PMI615</cp:lastModifiedBy>
  <cp:lastPrinted>2024-06-17T20:01:05Z</cp:lastPrinted>
  <dcterms:created xsi:type="dcterms:W3CDTF">2003-10-24T18:12:58Z</dcterms:created>
  <dcterms:modified xsi:type="dcterms:W3CDTF">2024-06-18T13:36:26Z</dcterms:modified>
  <cp:category/>
  <cp:version/>
  <cp:contentType/>
  <cp:contentStatus/>
</cp:coreProperties>
</file>